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жовтень" sheetId="1" r:id="rId1"/>
    <sheet name="вересень" sheetId="2" r:id="rId2"/>
    <sheet name="серпень" sheetId="3" r:id="rId3"/>
    <sheet name="липень" sheetId="4" r:id="rId4"/>
    <sheet name="червень" sheetId="5" r:id="rId5"/>
    <sheet name="травень" sheetId="6" r:id="rId6"/>
    <sheet name="квітень" sheetId="7" r:id="rId7"/>
    <sheet name="березень" sheetId="8" r:id="rId8"/>
    <sheet name="лютий" sheetId="9" r:id="rId9"/>
    <sheet name="січень " sheetId="10" r:id="rId10"/>
  </sheets>
  <externalReferences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<sst xmlns="http://schemas.openxmlformats.org/spreadsheetml/2006/main" count="2034" uniqueCount="290">
  <si>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</si>
  <si>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</si>
  <si>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</si>
  <si>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</si>
  <si>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</si>
  <si>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</si>
  <si>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</si>
  <si>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</si>
  <si>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</si>
  <si>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</si>
  <si>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</si>
  <si>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</si>
  <si>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</si>
  <si>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</si>
  <si>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</si>
  <si>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</si>
  <si>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</si>
  <si>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</si>
  <si>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</si>
  <si>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</si>
  <si>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</si>
  <si>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</si>
  <si>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</si>
  <si>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</si>
  <si>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</si>
  <si>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</si>
  <si>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</si>
  <si>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</si>
  <si>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</si>
  <si>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</si>
  <si>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</si>
  <si>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</si>
  <si>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</si>
  <si>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</si>
  <si>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</si>
  <si>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</si>
  <si>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</si>
  <si>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</si>
  <si>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</si>
  <si>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</si>
  <si>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</si>
  <si>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</si>
  <si>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</si>
  <si>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</si>
  <si>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</si>
  <si>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</si>
  <si>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</si>
  <si>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</si>
  <si>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</si>
  <si>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</si>
  <si>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</si>
  <si>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</si>
  <si>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</si>
  <si>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</si>
  <si>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</si>
  <si>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</si>
  <si>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</si>
  <si>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</si>
  <si>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</si>
  <si>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</si>
  <si>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</si>
  <si>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</si>
  <si>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</si>
  <si>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</si>
  <si>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</si>
  <si>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</si>
  <si>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</si>
  <si>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</si>
  <si>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</si>
  <si>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</si>
  <si>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</si>
  <si>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</si>
  <si>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</si>
  <si>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</si>
  <si>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</si>
  <si>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</si>
  <si>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</si>
  <si>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</si>
  <si>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</si>
  <si>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</si>
  <si>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</si>
  <si>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</si>
  <si>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</si>
  <si>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</si>
  <si>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</si>
  <si>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</si>
  <si>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</si>
  <si>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</si>
  <si>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</si>
  <si>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</si>
  <si>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</si>
  <si>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</si>
  <si>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</si>
  <si>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</si>
  <si>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</si>
  <si>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</si>
  <si>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</si>
  <si>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</si>
  <si>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</si>
  <si>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</si>
  <si>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</si>
  <si>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</si>
  <si>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</si>
  <si>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</si>
  <si>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</si>
  <si>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</si>
  <si>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</si>
  <si>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</si>
  <si>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</si>
  <si>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</si>
  <si>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</si>
  <si>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</si>
  <si>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</si>
  <si>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</si>
  <si>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</si>
  <si>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</si>
  <si>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</si>
  <si>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</si>
  <si>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</si>
  <si>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</si>
  <si>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</si>
  <si>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</si>
  <si>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</si>
  <si>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</si>
  <si>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</si>
  <si>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</si>
  <si>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</si>
  <si>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</si>
  <si>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</si>
  <si>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</si>
  <si>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</si>
  <si>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</si>
  <si>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</si>
  <si>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</si>
  <si>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</si>
  <si>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</si>
  <si>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</si>
  <si>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</si>
  <si>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</si>
  <si>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</si>
  <si>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</si>
  <si>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</si>
  <si>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</si>
  <si>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</si>
  <si>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</si>
  <si>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</si>
  <si>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</si>
  <si>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</si>
  <si>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</si>
  <si>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</si>
  <si>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</si>
  <si>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</si>
  <si>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</si>
  <si>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</si>
  <si>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</si>
  <si>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</si>
  <si>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</si>
  <si>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</si>
  <si>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</si>
  <si>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</si>
  <si>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</si>
  <si>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</si>
  <si>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</si>
  <si>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</si>
  <si>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</si>
  <si>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</si>
  <si>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</si>
  <si>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</si>
  <si>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</si>
  <si>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</si>
  <si>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</si>
  <si>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</si>
  <si>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</si>
  <si>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</si>
  <si>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</si>
  <si>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</si>
  <si>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</si>
  <si>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</si>
  <si>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</si>
  <si>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</si>
  <si>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</si>
  <si>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</si>
  <si>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</si>
  <si>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</si>
  <si>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</si>
  <si>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</si>
  <si>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</si>
  <si>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</si>
  <si>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</si>
  <si>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</si>
  <si>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</si>
  <si>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</si>
  <si>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</si>
  <si>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</si>
  <si>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</si>
  <si>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</si>
  <si>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</si>
  <si>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</si>
  <si>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</si>
  <si>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</si>
  <si>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</si>
  <si>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</si>
  <si>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</si>
  <si>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</si>
  <si>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</si>
  <si>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</si>
  <si>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</si>
  <si>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</si>
  <si>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</si>
  <si>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</si>
  <si>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</si>
  <si>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</si>
  <si>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</si>
  <si>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</si>
  <si>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</si>
  <si>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</si>
  <si>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</si>
  <si>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</si>
  <si>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</si>
  <si>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</si>
  <si>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</si>
  <si>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</si>
  <si>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</si>
  <si>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</si>
  <si>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</si>
  <si>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</si>
  <si>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</si>
  <si>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</si>
  <si>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</si>
  <si>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</si>
  <si>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</si>
  <si>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</si>
  <si>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</si>
  <si>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</si>
  <si>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</si>
  <si>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</si>
  <si>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</si>
  <si>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</si>
  <si>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</si>
  <si>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</si>
  <si>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</si>
  <si>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</si>
  <si>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</si>
  <si>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</si>
  <si>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</si>
  <si>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</si>
  <si>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</si>
  <si>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</si>
  <si>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</si>
  <si>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</si>
  <si>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</si>
  <si>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</si>
  <si>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</si>
  <si>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</si>
  <si>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</si>
  <si>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</si>
  <si>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</si>
  <si>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</si>
  <si>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січень-серпень</t>
  </si>
  <si>
    <t>Відхилення до плану на січень-серпень</t>
  </si>
  <si>
    <t>% виконання до плану на січень-серпень</t>
  </si>
  <si>
    <t>Виконано у серпні</t>
  </si>
  <si>
    <t>на серпень  місяць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</si>
  <si>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(січень-липень)</t>
    </r>
  </si>
  <si>
    <t>Динаміка  фактичних надходжень січень-серпень 2013 та 2014 років</t>
  </si>
  <si>
    <t>Динаміка  фактичних надходжень серпень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</si>
  <si>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</si>
  <si>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29.08.14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</si>
  <si>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січень-вересень</t>
  </si>
  <si>
    <t>Відхилення до плану на січень-вересень</t>
  </si>
  <si>
    <t>% виконання до плану на січень-вересень</t>
  </si>
  <si>
    <t>на вересень  місяць</t>
  </si>
  <si>
    <t>Виконано у вересні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</si>
  <si>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(січень-серпень)</t>
    </r>
  </si>
  <si>
    <t>Динаміка  фактичних надходжень січень-вересень 2013 та 2014 років</t>
  </si>
  <si>
    <t>Динаміка  фактичних надходжень вересень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</si>
  <si>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</si>
  <si>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30.09.14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</si>
  <si>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січень-жовтень</t>
  </si>
  <si>
    <t>Відхилення до плану на січень-жовтень</t>
  </si>
  <si>
    <t>% виконання до плану на січень-жовтень</t>
  </si>
  <si>
    <t>на жовтень  місяць</t>
  </si>
  <si>
    <t>Виконано у жовтні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</si>
  <si>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(січень-вересень)</t>
    </r>
  </si>
  <si>
    <t>16010000   18000000</t>
  </si>
  <si>
    <t>Динаміка  фактичних надходжень січень-жовтень 2013 та 2014 років</t>
  </si>
  <si>
    <t>16010000  18000000</t>
  </si>
  <si>
    <t>Динаміка  фактичних надходжень жовтень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</si>
  <si>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17.10.2014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</si>
  <si>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16.10.14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</si>
</sst>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27" fillId="0" borderId="1" xfId="0" applyNumberFormat="1" applyFont="1" applyBorder="1" applyAlignment="1" applyProtection="1">
      <alignment/>
      <protection/>
    </xf>
    <xf numFmtId="183" fontId="27" fillId="0" borderId="1" xfId="0" applyNumberFormat="1" applyFont="1" applyBorder="1" applyAlignment="1" applyProtection="1">
      <alignment/>
      <protection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4" fontId="22" fillId="5" borderId="1" xfId="0" applyNumberFormat="1" applyFont="1" applyFill="1" applyBorder="1" applyAlignment="1" applyProtection="1">
      <alignment horizontal="right"/>
      <protection locked="0"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5" fontId="8" fillId="5" borderId="1" xfId="20" applyNumberFormat="1" applyFont="1" applyFill="1" applyBorder="1" applyProtection="1">
      <alignment/>
      <protection/>
    </xf>
    <xf numFmtId="174" fontId="7" fillId="5" borderId="1" xfId="20" applyNumberFormat="1" applyFont="1" applyFill="1" applyBorder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3" fontId="7" fillId="0" borderId="1" xfId="20" applyNumberFormat="1" applyFont="1" applyBorder="1" applyAlignment="1" applyProtection="1">
      <alignment horizontal="center" vertical="center" wrapText="1"/>
      <protection/>
    </xf>
    <xf numFmtId="3" fontId="4" fillId="0" borderId="1" xfId="20" applyNumberFormat="1" applyFont="1" applyBorder="1" applyAlignment="1" applyProtection="1">
      <alignment vertical="center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4" fillId="0" borderId="12" xfId="20" applyFont="1" applyFill="1" applyBorder="1" applyAlignment="1" applyProtection="1">
      <alignment horizontal="center" vertic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9" fontId="4" fillId="0" borderId="12" xfId="22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12" xfId="22" applyFont="1" applyFill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10"/>
      <sheetName val="депозит"/>
      <sheetName val="залишки  (2)"/>
      <sheetName val="надх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листопад"/>
      <sheetName val="Лист1"/>
      <sheetName val="грудень"/>
    </sheetNames>
    <sheetDataSet>
      <sheetData sheetId="13">
        <row r="8">
          <cell r="G8">
            <v>0</v>
          </cell>
        </row>
        <row r="9">
          <cell r="G9">
            <v>9020596.530000001</v>
          </cell>
        </row>
      </sheetData>
      <sheetData sheetId="14">
        <row r="52">
          <cell r="B52">
            <v>19810605.33</v>
          </cell>
        </row>
      </sheetData>
      <sheetData sheetId="22">
        <row r="28">
          <cell r="C28">
            <v>4870376.3</v>
          </cell>
        </row>
      </sheetData>
      <sheetData sheetId="23">
        <row r="28">
          <cell r="C28">
            <v>3219411</v>
          </cell>
        </row>
      </sheetData>
      <sheetData sheetId="24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153" sqref="H153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210" t="s">
        <v>288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282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279</v>
      </c>
      <c r="H4" s="206" t="s">
        <v>280</v>
      </c>
      <c r="I4" s="202" t="s">
        <v>188</v>
      </c>
      <c r="J4" s="208" t="s">
        <v>189</v>
      </c>
      <c r="K4" s="195" t="s">
        <v>285</v>
      </c>
      <c r="L4" s="196"/>
      <c r="M4" s="216"/>
      <c r="N4" s="200" t="s">
        <v>289</v>
      </c>
      <c r="O4" s="202" t="s">
        <v>136</v>
      </c>
      <c r="P4" s="202" t="s">
        <v>135</v>
      </c>
      <c r="Q4" s="195" t="s">
        <v>287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278</v>
      </c>
      <c r="F5" s="219"/>
      <c r="G5" s="205"/>
      <c r="H5" s="207"/>
      <c r="I5" s="203"/>
      <c r="J5" s="209"/>
      <c r="K5" s="197"/>
      <c r="L5" s="198"/>
      <c r="M5" s="151" t="s">
        <v>281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391003.6399999999</v>
      </c>
      <c r="F8" s="22">
        <f>F10+F19+F33+F56+F68+F30</f>
        <v>366608.94</v>
      </c>
      <c r="G8" s="22">
        <f aca="true" t="shared" si="0" ref="G8:G30">F8-E8</f>
        <v>-24394.699999999895</v>
      </c>
      <c r="H8" s="51">
        <f>F8/E8*100</f>
        <v>93.76100437325854</v>
      </c>
      <c r="I8" s="36">
        <f aca="true" t="shared" si="1" ref="I8:I17">F8-D8</f>
        <v>-121867.35999999999</v>
      </c>
      <c r="J8" s="36">
        <f aca="true" t="shared" si="2" ref="J8:J14">F8/D8*100</f>
        <v>75.0515306474439</v>
      </c>
      <c r="K8" s="36">
        <f>F8-381548.5</f>
        <v>-14939.559999999998</v>
      </c>
      <c r="L8" s="136">
        <f>F8/381548.5</f>
        <v>0.9608449253502503</v>
      </c>
      <c r="M8" s="22">
        <f>M10+M19+M33+M56+M68+M30</f>
        <v>39644.799999999974</v>
      </c>
      <c r="N8" s="22">
        <f>N10+N19+N33+N56+N68+N30</f>
        <v>18318.890000000014</v>
      </c>
      <c r="O8" s="36">
        <f aca="true" t="shared" si="3" ref="O8:O71">N8-M8</f>
        <v>-21325.90999999996</v>
      </c>
      <c r="P8" s="36">
        <f>F8/M8*100</f>
        <v>924.7339878117691</v>
      </c>
      <c r="Q8" s="36">
        <f>N8-37261.3</f>
        <v>-18942.40999999999</v>
      </c>
      <c r="R8" s="134">
        <f>N8/37261.3</f>
        <v>0.49163314216090187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299243.82</v>
      </c>
      <c r="G9" s="22">
        <f t="shared" si="0"/>
        <v>299243.82</v>
      </c>
      <c r="H9" s="20"/>
      <c r="I9" s="56">
        <f t="shared" si="1"/>
        <v>-87769.38</v>
      </c>
      <c r="J9" s="56">
        <f t="shared" si="2"/>
        <v>77.32134717885592</v>
      </c>
      <c r="K9" s="56"/>
      <c r="L9" s="135"/>
      <c r="M9" s="20">
        <f>M10+M17</f>
        <v>32246.599999999977</v>
      </c>
      <c r="N9" s="20">
        <f>N10+N17</f>
        <v>16630.140000000014</v>
      </c>
      <c r="O9" s="36">
        <f t="shared" si="3"/>
        <v>-15616.459999999963</v>
      </c>
      <c r="P9" s="56">
        <f>F9/M9*100</f>
        <v>927.9856480993352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319706.1</v>
      </c>
      <c r="F10" s="169">
        <v>299243.82</v>
      </c>
      <c r="G10" s="49">
        <f t="shared" si="0"/>
        <v>-20462.27999999997</v>
      </c>
      <c r="H10" s="40">
        <f aca="true" t="shared" si="4" ref="H10:H17">F10/E10*100</f>
        <v>93.59965918698455</v>
      </c>
      <c r="I10" s="56">
        <f t="shared" si="1"/>
        <v>-87769.38</v>
      </c>
      <c r="J10" s="56">
        <f t="shared" si="2"/>
        <v>77.32134717885592</v>
      </c>
      <c r="K10" s="141">
        <f>F10-302092.5</f>
        <v>-2848.679999999993</v>
      </c>
      <c r="L10" s="142">
        <f>F10/302092.5</f>
        <v>0.990570173043025</v>
      </c>
      <c r="M10" s="40">
        <f>E10-вересень!E10</f>
        <v>32246.599999999977</v>
      </c>
      <c r="N10" s="40">
        <f>F10-вересень!F10</f>
        <v>16630.140000000014</v>
      </c>
      <c r="O10" s="53">
        <f t="shared" si="3"/>
        <v>-15616.459999999963</v>
      </c>
      <c r="P10" s="56">
        <f aca="true" t="shared" si="5" ref="P10:P17">N10/M10*100</f>
        <v>51.57176260442969</v>
      </c>
      <c r="Q10" s="141">
        <f>N10-29418.1</f>
        <v>-12787.959999999985</v>
      </c>
      <c r="R10" s="142">
        <f>N10/29418.1</f>
        <v>0.5653029937351499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E11-вересень!E11</f>
        <v>0</v>
      </c>
      <c r="N11" s="40">
        <f>F11-вересень!F11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E12-вересень!E12</f>
        <v>0</v>
      </c>
      <c r="N12" s="40">
        <f>F12-вересень!F12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E13-вересень!E13</f>
        <v>0</v>
      </c>
      <c r="N13" s="40">
        <f>F13-вересень!F13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E14-вересень!E14</f>
        <v>0</v>
      </c>
      <c r="N14" s="40">
        <f>F14-вересень!F14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E15-вересень!E15</f>
        <v>0</v>
      </c>
      <c r="N15" s="40">
        <f>F15-вересень!F15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E16-вересень!E16</f>
        <v>0</v>
      </c>
      <c r="N16" s="40">
        <f>F16-вересень!F16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E17-вересень!E17</f>
        <v>0</v>
      </c>
      <c r="N17" s="40">
        <f>F17-вересень!F17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E18-вересень!E18</f>
        <v>0</v>
      </c>
      <c r="N18" s="40">
        <f>F18-вересень!F18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1067.6</v>
      </c>
      <c r="F19" s="169">
        <v>-392.37</v>
      </c>
      <c r="G19" s="49">
        <f t="shared" si="0"/>
        <v>-1459.9699999999998</v>
      </c>
      <c r="H19" s="40">
        <f aca="true" t="shared" si="6" ref="H19:H29">F19/E19*100</f>
        <v>-36.75252903709254</v>
      </c>
      <c r="I19" s="56">
        <f aca="true" t="shared" si="7" ref="I19:I29">F19-D19</f>
        <v>-1392.37</v>
      </c>
      <c r="J19" s="56">
        <f aca="true" t="shared" si="8" ref="J19:J29">F19/D19*100</f>
        <v>-39.237</v>
      </c>
      <c r="K19" s="167">
        <f>F19-6843.6</f>
        <v>-7235.97</v>
      </c>
      <c r="L19" s="168">
        <f>F19/6843.6</f>
        <v>-0.05733385937226021</v>
      </c>
      <c r="M19" s="40">
        <f>E19-вересень!E19</f>
        <v>11</v>
      </c>
      <c r="N19" s="40">
        <f>F19-вересень!F19</f>
        <v>12.100000000000023</v>
      </c>
      <c r="O19" s="53">
        <f t="shared" si="3"/>
        <v>1.1000000000000227</v>
      </c>
      <c r="P19" s="56">
        <f aca="true" t="shared" si="9" ref="P19:P29">N19/M19*100</f>
        <v>110.00000000000021</v>
      </c>
      <c r="Q19" s="56">
        <f>N19-364.5</f>
        <v>-352.4</v>
      </c>
      <c r="R19" s="135">
        <f>N19/364.5</f>
        <v>0.03319615912208511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E20-вересень!E20</f>
        <v>0</v>
      </c>
      <c r="N20" s="40">
        <f>F20-вересень!F20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E21-вересень!E21</f>
        <v>0</v>
      </c>
      <c r="N21" s="40">
        <f>F21-вересень!F21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E22-вересень!E22</f>
        <v>0</v>
      </c>
      <c r="N22" s="40">
        <f>F22-вересень!F22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E23-вересень!E23</f>
        <v>0</v>
      </c>
      <c r="N23" s="40">
        <f>F23-вересень!F23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E24-вересень!E24</f>
        <v>0</v>
      </c>
      <c r="N24" s="40">
        <f>F24-вересень!F24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E25-вересень!E25</f>
        <v>0</v>
      </c>
      <c r="N25" s="40">
        <f>F25-вересень!F25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E26-вересень!E26</f>
        <v>0</v>
      </c>
      <c r="N26" s="40">
        <f>F26-вересень!F26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E27-вересень!E27</f>
        <v>0</v>
      </c>
      <c r="N27" s="40">
        <f>F27-вересень!F27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E28-вересень!E28</f>
        <v>0</v>
      </c>
      <c r="N28" s="40">
        <f>F28-вересень!F28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807.6</v>
      </c>
      <c r="F29" s="170">
        <v>106.61</v>
      </c>
      <c r="G29" s="49">
        <f t="shared" si="0"/>
        <v>-700.99</v>
      </c>
      <c r="H29" s="40">
        <f t="shared" si="6"/>
        <v>13.20084200099059</v>
      </c>
      <c r="I29" s="56">
        <f t="shared" si="7"/>
        <v>-823.39</v>
      </c>
      <c r="J29" s="56">
        <f t="shared" si="8"/>
        <v>11.463440860215053</v>
      </c>
      <c r="K29" s="148">
        <f>F29-2915.3</f>
        <v>-2808.69</v>
      </c>
      <c r="L29" s="149">
        <f>F29/2915.3</f>
        <v>0.036569135251946626</v>
      </c>
      <c r="M29" s="40">
        <f>E29-вересень!E29</f>
        <v>11</v>
      </c>
      <c r="N29" s="40">
        <f>F29-вересень!F29</f>
        <v>11</v>
      </c>
      <c r="O29" s="148">
        <f t="shared" si="3"/>
        <v>0</v>
      </c>
      <c r="P29" s="145">
        <f t="shared" si="9"/>
        <v>100</v>
      </c>
      <c r="Q29" s="148">
        <f>N29-55.3</f>
        <v>-44.3</v>
      </c>
      <c r="R29" s="149">
        <f>N29/55.3</f>
        <v>0.19891500904159132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27.5</v>
      </c>
      <c r="F30" s="169">
        <v>3.31</v>
      </c>
      <c r="G30" s="49">
        <f t="shared" si="0"/>
        <v>-24.19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E30-вересень!E30</f>
        <v>0.5</v>
      </c>
      <c r="N30" s="40">
        <f>F30-вересень!F30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E31-вересень!E31</f>
        <v>0</v>
      </c>
      <c r="N31" s="40">
        <f>F31-вересень!F31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E32-вересень!E32</f>
        <v>0</v>
      </c>
      <c r="N32" s="40">
        <f>F32-вересень!F32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64535.84</v>
      </c>
      <c r="F33" s="169">
        <v>62424.01</v>
      </c>
      <c r="G33" s="49">
        <f aca="true" t="shared" si="14" ref="G33:G72">F33-E33</f>
        <v>-2111.8299999999945</v>
      </c>
      <c r="H33" s="40">
        <f aca="true" t="shared" si="15" ref="H33:H67">F33/E33*100</f>
        <v>96.7276632643195</v>
      </c>
      <c r="I33" s="56">
        <f>F33-D33</f>
        <v>-31141.989999999998</v>
      </c>
      <c r="J33" s="56">
        <f aca="true" t="shared" si="16" ref="J33:J72">F33/D33*100</f>
        <v>66.71655302139666</v>
      </c>
      <c r="K33" s="141">
        <f>F33-67415.8</f>
        <v>-4991.790000000001</v>
      </c>
      <c r="L33" s="142">
        <f>F33/67415.8</f>
        <v>0.9259551915129688</v>
      </c>
      <c r="M33" s="40">
        <f>E33-вересень!E33</f>
        <v>6833.699999999997</v>
      </c>
      <c r="N33" s="40">
        <f>F33-вересень!F33</f>
        <v>1191.550000000003</v>
      </c>
      <c r="O33" s="53">
        <f t="shared" si="3"/>
        <v>-5642.149999999994</v>
      </c>
      <c r="P33" s="56">
        <f aca="true" t="shared" si="17" ref="P33:P67">N33/M33*100</f>
        <v>17.43638146245816</v>
      </c>
      <c r="Q33" s="141">
        <f>N33-7002.6</f>
        <v>-5811.049999999997</v>
      </c>
      <c r="R33" s="142">
        <f>N33/7002.6</f>
        <v>0.17015822694427823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E34-вересень!E34</f>
        <v>0</v>
      </c>
      <c r="N34" s="40">
        <f>F34-вересень!F34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E35-вересень!E35</f>
        <v>0</v>
      </c>
      <c r="N35" s="40">
        <f>F35-вересень!F35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E36-вересень!E36</f>
        <v>0</v>
      </c>
      <c r="N36" s="40">
        <f>F36-вересень!F36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E37-вересень!E37</f>
        <v>0</v>
      </c>
      <c r="N37" s="40">
        <f>F37-вересень!F37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E38-вересень!E38</f>
        <v>0</v>
      </c>
      <c r="N38" s="40">
        <f>F38-вересень!F38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E39-вересень!E39</f>
        <v>0</v>
      </c>
      <c r="N39" s="40">
        <f>F39-вересень!F39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E40-вересень!E40</f>
        <v>0</v>
      </c>
      <c r="N40" s="40">
        <f>F40-вересень!F40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E41-вересень!E41</f>
        <v>0</v>
      </c>
      <c r="N41" s="40">
        <f>F41-вересень!F41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E42-вересень!E42</f>
        <v>0</v>
      </c>
      <c r="N42" s="40">
        <f>F42-вересень!F42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E43-вересень!E43</f>
        <v>0</v>
      </c>
      <c r="N43" s="40">
        <f>F43-вересень!F43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E44-вересень!E44</f>
        <v>0</v>
      </c>
      <c r="N44" s="40">
        <f>F44-вересень!F44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E45-вересень!E45</f>
        <v>0</v>
      </c>
      <c r="N45" s="40">
        <f>F45-вересень!F45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E46-вересень!E46</f>
        <v>0</v>
      </c>
      <c r="N46" s="40">
        <f>F46-вересень!F46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E47-вересень!E47</f>
        <v>0</v>
      </c>
      <c r="N47" s="40">
        <f>F47-вересень!F47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E48-вересень!E48</f>
        <v>0</v>
      </c>
      <c r="N48" s="40">
        <f>F48-вересень!F48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E49-вересень!E49</f>
        <v>0</v>
      </c>
      <c r="N49" s="40">
        <f>F49-вересень!F49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E50-вересень!E50</f>
        <v>0</v>
      </c>
      <c r="N50" s="40">
        <f>F50-вересень!F50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E51-вересень!E51</f>
        <v>0</v>
      </c>
      <c r="N51" s="40">
        <f>F51-вересень!F51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E52-вересень!E52</f>
        <v>0</v>
      </c>
      <c r="N52" s="40">
        <f>F52-вересень!F52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E53-вересень!E53</f>
        <v>0</v>
      </c>
      <c r="N53" s="40">
        <f>F53-вересень!F53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E54-вересень!E54</f>
        <v>0</v>
      </c>
      <c r="N54" s="40">
        <f>F54-вересень!F54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47405.54</v>
      </c>
      <c r="F55" s="170">
        <v>46479.14</v>
      </c>
      <c r="G55" s="144">
        <f t="shared" si="14"/>
        <v>-926.4000000000015</v>
      </c>
      <c r="H55" s="146">
        <f t="shared" si="15"/>
        <v>98.04579802276274</v>
      </c>
      <c r="I55" s="145">
        <f t="shared" si="18"/>
        <v>-23786.86</v>
      </c>
      <c r="J55" s="145">
        <f t="shared" si="16"/>
        <v>66.14741126576153</v>
      </c>
      <c r="K55" s="148">
        <f>F55-49156.62</f>
        <v>-2677.480000000003</v>
      </c>
      <c r="L55" s="149">
        <f>F55/49156.62</f>
        <v>0.9455316496536986</v>
      </c>
      <c r="M55" s="40">
        <f>E55-вересень!E55</f>
        <v>4933.700000000004</v>
      </c>
      <c r="N55" s="40">
        <f>F55-вересень!F55</f>
        <v>1057.739999999998</v>
      </c>
      <c r="O55" s="148">
        <f t="shared" si="3"/>
        <v>-3875.9600000000064</v>
      </c>
      <c r="P55" s="148">
        <f t="shared" si="17"/>
        <v>21.43908223037471</v>
      </c>
      <c r="Q55" s="160">
        <f>N55-5343.11</f>
        <v>-4285.370000000002</v>
      </c>
      <c r="R55" s="161">
        <f>N55/5343.11</f>
        <v>0.19796335841859852</v>
      </c>
    </row>
    <row r="56" spans="1:18" s="6" customFormat="1" ht="30" customHeight="1">
      <c r="A56" s="8"/>
      <c r="B56" s="15" t="s">
        <v>53</v>
      </c>
      <c r="C56" s="178" t="s">
        <v>286</v>
      </c>
      <c r="D56" s="41">
        <v>6860</v>
      </c>
      <c r="E56" s="41">
        <v>5666.5</v>
      </c>
      <c r="F56" s="169">
        <f>1.51+5327.12</f>
        <v>5328.63</v>
      </c>
      <c r="G56" s="49">
        <f t="shared" si="14"/>
        <v>-337.8699999999999</v>
      </c>
      <c r="H56" s="40">
        <f t="shared" si="15"/>
        <v>94.03741286508426</v>
      </c>
      <c r="I56" s="56">
        <f t="shared" si="18"/>
        <v>-1531.37</v>
      </c>
      <c r="J56" s="56">
        <f t="shared" si="16"/>
        <v>77.6768221574344</v>
      </c>
      <c r="K56" s="56">
        <f>F56-5173.5</f>
        <v>155.1300000000001</v>
      </c>
      <c r="L56" s="135">
        <f>F56/5173.5</f>
        <v>1.0299855030443608</v>
      </c>
      <c r="M56" s="40">
        <f>E56-вересень!E56</f>
        <v>553</v>
      </c>
      <c r="N56" s="40">
        <f>F56-вересень!F56</f>
        <v>485.09999999999945</v>
      </c>
      <c r="O56" s="53">
        <f t="shared" si="3"/>
        <v>-67.90000000000055</v>
      </c>
      <c r="P56" s="56">
        <f t="shared" si="17"/>
        <v>87.72151898734167</v>
      </c>
      <c r="Q56" s="56">
        <f>N56-479</f>
        <v>6.099999999999454</v>
      </c>
      <c r="R56" s="135">
        <f>N56/479</f>
        <v>1.012734864300625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E57-вересень!E57</f>
        <v>0</v>
      </c>
      <c r="N57" s="40">
        <f>F57-вересень!F57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E58-вересень!E58</f>
        <v>0</v>
      </c>
      <c r="N58" s="40">
        <f>F58-вересень!F58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E59-вересень!E59</f>
        <v>0</v>
      </c>
      <c r="N59" s="40">
        <f>F59-вересень!F59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E60-вересень!E60</f>
        <v>0</v>
      </c>
      <c r="N60" s="40">
        <f>F60-вересень!F60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E61-вересень!E61</f>
        <v>0</v>
      </c>
      <c r="N61" s="40">
        <f>F61-вересень!F61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E62-вересень!E62</f>
        <v>0</v>
      </c>
      <c r="N62" s="40">
        <f>F62-вересень!F62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E63-вересень!E63</f>
        <v>0</v>
      </c>
      <c r="N63" s="40">
        <f>F63-вересень!F63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E64-вересень!E64</f>
        <v>0</v>
      </c>
      <c r="N64" s="40">
        <f>F64-вересень!F64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E65-вересень!E65</f>
        <v>0</v>
      </c>
      <c r="N65" s="40">
        <f>F65-вересень!F65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E66-вересень!E66</f>
        <v>0</v>
      </c>
      <c r="N66" s="40">
        <f>F66-вересень!F66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E67-вересень!E67</f>
        <v>0</v>
      </c>
      <c r="N67" s="40">
        <f>F67-вересень!F67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1.54</v>
      </c>
      <c r="G68" s="49">
        <f t="shared" si="14"/>
        <v>1.44</v>
      </c>
      <c r="H68" s="40"/>
      <c r="I68" s="56">
        <f t="shared" si="18"/>
        <v>1.44</v>
      </c>
      <c r="J68" s="56">
        <f t="shared" si="16"/>
        <v>1540</v>
      </c>
      <c r="K68" s="56">
        <f>F68-(-2)</f>
        <v>3.54</v>
      </c>
      <c r="L68" s="135"/>
      <c r="M68" s="40">
        <f>E68-вересень!E68</f>
        <v>0</v>
      </c>
      <c r="N68" s="40">
        <f>F68-вересень!F68</f>
        <v>0</v>
      </c>
      <c r="O68" s="53">
        <f t="shared" si="3"/>
        <v>0</v>
      </c>
      <c r="P68" s="56"/>
      <c r="Q68" s="56">
        <f>N68-(-0.3)</f>
        <v>0.3</v>
      </c>
      <c r="R68" s="135"/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13696.5</v>
      </c>
      <c r="F74" s="22">
        <f>F77+F86+F88+F89+F94+F95+F96+F97+F99+F104+F87+F103</f>
        <v>10678.180000000002</v>
      </c>
      <c r="G74" s="50">
        <f aca="true" t="shared" si="24" ref="G74:G92">F74-E74</f>
        <v>-3018.319999999998</v>
      </c>
      <c r="H74" s="51">
        <f aca="true" t="shared" si="25" ref="H74:H87">F74/E74*100</f>
        <v>77.96283722118791</v>
      </c>
      <c r="I74" s="36">
        <f aca="true" t="shared" si="26" ref="I74:I92">F74-D74</f>
        <v>-7680.119999999997</v>
      </c>
      <c r="J74" s="36">
        <f aca="true" t="shared" si="27" ref="J74:J92">F74/D74*100</f>
        <v>58.16540747236946</v>
      </c>
      <c r="K74" s="36">
        <f>F74-16325.3</f>
        <v>-5647.119999999997</v>
      </c>
      <c r="L74" s="136">
        <f>F74/16325.3</f>
        <v>0.6540878268699505</v>
      </c>
      <c r="M74" s="22">
        <f>M77+M86+M88+M89+M94+M95+M96+M97+M99+M87+M104</f>
        <v>1516.5</v>
      </c>
      <c r="N74" s="22">
        <f>N77+N86+N88+N89+N94+N95+N96+N97+N99+N32+N104+N87+N103</f>
        <v>918.7470000000002</v>
      </c>
      <c r="O74" s="55">
        <f aca="true" t="shared" si="28" ref="O74:O92">N74-M74</f>
        <v>-597.7529999999998</v>
      </c>
      <c r="P74" s="36">
        <f>N74/M74*100</f>
        <v>60.58338278931752</v>
      </c>
      <c r="Q74" s="36">
        <f>N74-1739.9</f>
        <v>-821.1529999999999</v>
      </c>
      <c r="R74" s="136">
        <f>N74/1739.9</f>
        <v>0.5280458647048681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F77-1716.7</f>
        <v>-1593.25</v>
      </c>
      <c r="L77" s="168">
        <f>F77/1716.7</f>
        <v>0.0719112250247568</v>
      </c>
      <c r="M77" s="40">
        <f>E77-вересень!E77</f>
        <v>0</v>
      </c>
      <c r="N77" s="40">
        <f>F77-вересень!F77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N77-22.2</f>
        <v>-22.2</v>
      </c>
      <c r="R77" s="135">
        <f>N77/22.2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E78-вересень!E78</f>
        <v>0</v>
      </c>
      <c r="N78" s="40">
        <f>F78-вересень!F78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E79-вересень!E79</f>
        <v>0</v>
      </c>
      <c r="N79" s="40">
        <f>F79-вересень!F79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E80-вересень!E80</f>
        <v>0</v>
      </c>
      <c r="N80" s="40">
        <f>F80-вересень!F80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E81-вересень!E81</f>
        <v>0</v>
      </c>
      <c r="N81" s="40">
        <f>F81-вересень!F81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E82-вересень!E82</f>
        <v>0</v>
      </c>
      <c r="N82" s="40">
        <f>F82-вересень!F82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E83-вересень!E83</f>
        <v>0</v>
      </c>
      <c r="N83" s="40">
        <f>F83-вересень!F83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E84-вересень!E84</f>
        <v>0</v>
      </c>
      <c r="N84" s="40">
        <f>F84-вересень!F84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E85-вересень!E85</f>
        <v>0</v>
      </c>
      <c r="N85" s="40">
        <f>F85-вересень!F85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3080</v>
      </c>
      <c r="F86" s="169">
        <v>0</v>
      </c>
      <c r="G86" s="49">
        <f t="shared" si="24"/>
        <v>-3080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F86-3105.3</f>
        <v>-3105.3</v>
      </c>
      <c r="L86" s="168"/>
      <c r="M86" s="40">
        <f>E86-вересень!E86</f>
        <v>480</v>
      </c>
      <c r="N86" s="40">
        <f>F86-вересень!F86</f>
        <v>0</v>
      </c>
      <c r="O86" s="53">
        <f t="shared" si="28"/>
        <v>-480</v>
      </c>
      <c r="P86" s="56">
        <f t="shared" si="29"/>
        <v>0</v>
      </c>
      <c r="Q86" s="56">
        <f>N86-463.7</f>
        <v>-463.7</v>
      </c>
      <c r="R86" s="135">
        <f>N86/463.7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279.53</v>
      </c>
      <c r="G87" s="49">
        <f t="shared" si="24"/>
        <v>59.52999999999997</v>
      </c>
      <c r="H87" s="40">
        <f t="shared" si="25"/>
        <v>127.05909090909088</v>
      </c>
      <c r="I87" s="56">
        <f t="shared" si="26"/>
        <v>-220.47000000000003</v>
      </c>
      <c r="J87" s="56">
        <f t="shared" si="27"/>
        <v>55.90599999999999</v>
      </c>
      <c r="K87" s="56">
        <f>F87-222.2</f>
        <v>57.329999999999984</v>
      </c>
      <c r="L87" s="135">
        <f>F87/222.2</f>
        <v>1.2580108010801079</v>
      </c>
      <c r="M87" s="40">
        <f>E87-вересень!E87</f>
        <v>0</v>
      </c>
      <c r="N87" s="40">
        <f>F87-вересень!F87</f>
        <v>7.279999999999973</v>
      </c>
      <c r="O87" s="53">
        <f t="shared" si="28"/>
        <v>7.279999999999973</v>
      </c>
      <c r="P87" s="56" t="e">
        <f t="shared" si="29"/>
        <v>#DIV/0!</v>
      </c>
      <c r="Q87" s="56">
        <f>N87-11.9</f>
        <v>-4.620000000000028</v>
      </c>
      <c r="R87" s="135">
        <f>N87/11.9</f>
        <v>0.6117647058823507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4</v>
      </c>
      <c r="F88" s="169">
        <v>5.6</v>
      </c>
      <c r="G88" s="49">
        <f t="shared" si="24"/>
        <v>1.5999999999999996</v>
      </c>
      <c r="H88" s="40">
        <f>F88/E88*100</f>
        <v>140</v>
      </c>
      <c r="I88" s="56">
        <f t="shared" si="26"/>
        <v>0.5</v>
      </c>
      <c r="J88" s="56">
        <f t="shared" si="27"/>
        <v>109.80392156862746</v>
      </c>
      <c r="K88" s="56">
        <f>F88-4.4</f>
        <v>1.1999999999999993</v>
      </c>
      <c r="L88" s="135"/>
      <c r="M88" s="40">
        <f>E88-вересень!E88</f>
        <v>0.5</v>
      </c>
      <c r="N88" s="40">
        <f>F88-вересень!F88</f>
        <v>0</v>
      </c>
      <c r="O88" s="53">
        <f t="shared" si="28"/>
        <v>-0.5</v>
      </c>
      <c r="P88" s="56">
        <f>N88/M88*100</f>
        <v>0</v>
      </c>
      <c r="Q88" s="56">
        <f>N88-1.3</f>
        <v>-1.3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144</v>
      </c>
      <c r="F89" s="169">
        <v>108.17</v>
      </c>
      <c r="G89" s="49">
        <f t="shared" si="24"/>
        <v>-35.83</v>
      </c>
      <c r="H89" s="40">
        <f>F89/E89*100</f>
        <v>75.11805555555556</v>
      </c>
      <c r="I89" s="56">
        <f t="shared" si="26"/>
        <v>-66.83</v>
      </c>
      <c r="J89" s="56">
        <f t="shared" si="27"/>
        <v>61.81142857142857</v>
      </c>
      <c r="K89" s="56">
        <f>F89-137.6</f>
        <v>-29.429999999999993</v>
      </c>
      <c r="L89" s="135">
        <f>F89/137.6</f>
        <v>0.7861191860465117</v>
      </c>
      <c r="M89" s="40">
        <f>E89-вересень!E89</f>
        <v>15</v>
      </c>
      <c r="N89" s="40">
        <f>F89-вересень!F89</f>
        <v>10.219999999999999</v>
      </c>
      <c r="O89" s="53">
        <f t="shared" si="28"/>
        <v>-4.780000000000001</v>
      </c>
      <c r="P89" s="56">
        <f>N89/M89*100</f>
        <v>68.13333333333333</v>
      </c>
      <c r="Q89" s="56">
        <f>N89-14.4</f>
        <v>-4.1800000000000015</v>
      </c>
      <c r="R89" s="135">
        <f>N89/14.4</f>
        <v>0.7097222222222221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E90-вересень!E90</f>
        <v>0</v>
      </c>
      <c r="N90" s="40">
        <f>F90-вересень!F90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E91-вересень!E91</f>
        <v>0</v>
      </c>
      <c r="N91" s="40">
        <f>F91-вересень!F91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E92-вересень!E92</f>
        <v>0</v>
      </c>
      <c r="N92" s="40">
        <f>F92-вересень!F92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E93-вересень!E93</f>
        <v>0</v>
      </c>
      <c r="N93" s="40">
        <f>F93-вересень!F93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E94-вересень!E94</f>
        <v>0</v>
      </c>
      <c r="N94" s="40">
        <f>F94-вересень!F94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5831.5</v>
      </c>
      <c r="F95" s="169">
        <v>5936.51</v>
      </c>
      <c r="G95" s="49">
        <f t="shared" si="31"/>
        <v>105.01000000000022</v>
      </c>
      <c r="H95" s="40">
        <f>F95/E95*100</f>
        <v>101.80073737460344</v>
      </c>
      <c r="I95" s="56">
        <f t="shared" si="32"/>
        <v>-1063.4899999999998</v>
      </c>
      <c r="J95" s="56">
        <f>F95/D95*100</f>
        <v>84.80728571428571</v>
      </c>
      <c r="K95" s="56">
        <f>F95-6170</f>
        <v>-233.48999999999978</v>
      </c>
      <c r="L95" s="135">
        <f>F95/6170</f>
        <v>0.9621572123176662</v>
      </c>
      <c r="M95" s="40">
        <f>E95-вересень!E95</f>
        <v>575</v>
      </c>
      <c r="N95" s="40">
        <f>F95-вересень!F95</f>
        <v>571.0900000000001</v>
      </c>
      <c r="O95" s="53">
        <f t="shared" si="33"/>
        <v>-3.9099999999998545</v>
      </c>
      <c r="P95" s="56">
        <f>N95/M95*100</f>
        <v>99.32000000000004</v>
      </c>
      <c r="Q95" s="56">
        <f>N95-652.5</f>
        <v>-81.40999999999985</v>
      </c>
      <c r="R95" s="135">
        <f>N95/652.5</f>
        <v>0.875233716475096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904.5</v>
      </c>
      <c r="F96" s="169">
        <v>828.28</v>
      </c>
      <c r="G96" s="49">
        <f t="shared" si="31"/>
        <v>-76.22000000000003</v>
      </c>
      <c r="H96" s="40">
        <f>F96/E96*100</f>
        <v>91.57324488667771</v>
      </c>
      <c r="I96" s="56">
        <f t="shared" si="32"/>
        <v>-371.72</v>
      </c>
      <c r="J96" s="56">
        <f>F96/D96*100</f>
        <v>69.02333333333334</v>
      </c>
      <c r="K96" s="56">
        <f>F96-930</f>
        <v>-101.72000000000003</v>
      </c>
      <c r="L96" s="135">
        <f>F96/930</f>
        <v>0.8906236559139785</v>
      </c>
      <c r="M96" s="40">
        <f>E96-вересень!E96</f>
        <v>110</v>
      </c>
      <c r="N96" s="40">
        <f>F96-вересень!F96</f>
        <v>45.89999999999998</v>
      </c>
      <c r="O96" s="53">
        <f t="shared" si="33"/>
        <v>-64.10000000000002</v>
      </c>
      <c r="P96" s="56">
        <f>N96/M96*100</f>
        <v>41.727272727272705</v>
      </c>
      <c r="Q96" s="56">
        <f>N96-134.5</f>
        <v>-88.60000000000002</v>
      </c>
      <c r="R96" s="135">
        <f>N96/134.5</f>
        <v>0.34126394052044595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E97-вересень!E97</f>
        <v>0</v>
      </c>
      <c r="N97" s="40">
        <f>F97-вересень!F97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E98-вересень!E98</f>
        <v>0</v>
      </c>
      <c r="N98" s="40">
        <f>F98-вересень!F98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3337</v>
      </c>
      <c r="F99" s="169">
        <v>3378.09</v>
      </c>
      <c r="G99" s="49">
        <f t="shared" si="31"/>
        <v>41.090000000000146</v>
      </c>
      <c r="H99" s="40">
        <f>F99/E99*100</f>
        <v>101.23134551992807</v>
      </c>
      <c r="I99" s="56">
        <f t="shared" si="32"/>
        <v>-1194.6099999999997</v>
      </c>
      <c r="J99" s="56">
        <f>F99/D99*100</f>
        <v>73.87517221772694</v>
      </c>
      <c r="K99" s="56">
        <f>F99-3845.9</f>
        <v>-467.80999999999995</v>
      </c>
      <c r="L99" s="135">
        <f>F99/3845.9</f>
        <v>0.8783613718505422</v>
      </c>
      <c r="M99" s="40">
        <f>E99-вересень!E99</f>
        <v>330</v>
      </c>
      <c r="N99" s="40">
        <f>F99-вересень!F99</f>
        <v>284.25700000000006</v>
      </c>
      <c r="O99" s="53">
        <f t="shared" si="33"/>
        <v>-45.74299999999994</v>
      </c>
      <c r="P99" s="56">
        <f>N99/M99*100</f>
        <v>86.13848484848486</v>
      </c>
      <c r="Q99" s="56">
        <f>N99-434.7</f>
        <v>-150.44299999999993</v>
      </c>
      <c r="R99" s="135">
        <f>N99/434.7</f>
        <v>0.6539153439153441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E100-вересень!E100</f>
        <v>0</v>
      </c>
      <c r="N100" s="40">
        <f>F100-вересень!F100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E101-вересень!E101</f>
        <v>0</v>
      </c>
      <c r="N101" s="40">
        <f>F101-вересень!F101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819.4</v>
      </c>
      <c r="G102" s="144"/>
      <c r="H102" s="146"/>
      <c r="I102" s="145"/>
      <c r="J102" s="145"/>
      <c r="K102" s="148">
        <f>F102-647.5</f>
        <v>171.89999999999998</v>
      </c>
      <c r="L102" s="149">
        <f>F102/647.5</f>
        <v>1.2654826254826255</v>
      </c>
      <c r="M102" s="40">
        <f>E102-вересень!E102</f>
        <v>0</v>
      </c>
      <c r="N102" s="40">
        <f>F102-вересень!F102</f>
        <v>62.19999999999993</v>
      </c>
      <c r="O102" s="53"/>
      <c r="P102" s="60"/>
      <c r="Q102" s="60">
        <f>N102-103.3</f>
        <v>-41.100000000000065</v>
      </c>
      <c r="R102" s="138">
        <f>N102/103.3</f>
        <v>0.6021297192642782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E103-вересень!E103</f>
        <v>0</v>
      </c>
      <c r="N103" s="40">
        <f>F103-вересень!F103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65.5</v>
      </c>
      <c r="F104" s="169">
        <v>13.28</v>
      </c>
      <c r="G104" s="49">
        <f>F104-E104</f>
        <v>-52.22</v>
      </c>
      <c r="H104" s="40">
        <f>F104/E104*100</f>
        <v>20.27480916030534</v>
      </c>
      <c r="I104" s="56">
        <f aca="true" t="shared" si="34" ref="I104:I111">F104-D104</f>
        <v>-52.22</v>
      </c>
      <c r="J104" s="56">
        <f>F105-D104</f>
        <v>-45.18</v>
      </c>
      <c r="K104" s="56">
        <f>F104-63.9</f>
        <v>-50.62</v>
      </c>
      <c r="L104" s="135">
        <f>F104/63.9</f>
        <v>0.20782472613458527</v>
      </c>
      <c r="M104" s="40">
        <f>E104-вересень!E104</f>
        <v>6</v>
      </c>
      <c r="N104" s="40">
        <f>F104-вересень!F104</f>
        <v>0</v>
      </c>
      <c r="O104" s="53">
        <f aca="true" t="shared" si="35" ref="O104:O110">N104-M104</f>
        <v>-6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27.2</v>
      </c>
      <c r="F105" s="169">
        <v>20.32</v>
      </c>
      <c r="G105" s="49">
        <f>F105-E105</f>
        <v>-6.879999999999999</v>
      </c>
      <c r="H105" s="40">
        <f>F105/E105*100</f>
        <v>74.70588235294117</v>
      </c>
      <c r="I105" s="56">
        <f t="shared" si="34"/>
        <v>-24.68</v>
      </c>
      <c r="J105" s="56">
        <f aca="true" t="shared" si="36" ref="J105:J110">F105/D105*100</f>
        <v>45.15555555555555</v>
      </c>
      <c r="K105" s="56">
        <f>F105-17.2</f>
        <v>3.120000000000001</v>
      </c>
      <c r="L105" s="135">
        <f>F105/17.2</f>
        <v>1.1813953488372093</v>
      </c>
      <c r="M105" s="40">
        <f>E105-вересень!E105</f>
        <v>3</v>
      </c>
      <c r="N105" s="40">
        <f>F105-вересень!F105</f>
        <v>0.4200000000000017</v>
      </c>
      <c r="O105" s="53">
        <f t="shared" si="35"/>
        <v>-2.5799999999999983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E106-вересень!E106</f>
        <v>0</v>
      </c>
      <c r="N106" s="40">
        <f>F106-вересень!F106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404727.3399999999</v>
      </c>
      <c r="F107" s="22">
        <f>F8+F74+F105+F106</f>
        <v>377307.81</v>
      </c>
      <c r="G107" s="175">
        <f>F107-E107</f>
        <v>-27419.52999999991</v>
      </c>
      <c r="H107" s="51">
        <f>F107/E107*100</f>
        <v>93.22518463912027</v>
      </c>
      <c r="I107" s="36">
        <f t="shared" si="34"/>
        <v>-129571.78999999998</v>
      </c>
      <c r="J107" s="36">
        <f t="shared" si="36"/>
        <v>74.43736342910624</v>
      </c>
      <c r="K107" s="36">
        <f>F107-397893.6</f>
        <v>-20585.78999999998</v>
      </c>
      <c r="L107" s="136">
        <f>F107/397893.6</f>
        <v>0.9482630783707001</v>
      </c>
      <c r="M107" s="22">
        <f>M8+M74+M105+M106</f>
        <v>41164.299999999974</v>
      </c>
      <c r="N107" s="22">
        <f>N8+N74+N105+N106</f>
        <v>19238.05700000001</v>
      </c>
      <c r="O107" s="55">
        <f t="shared" si="35"/>
        <v>-21926.242999999962</v>
      </c>
      <c r="P107" s="36">
        <f>N107/M107*100</f>
        <v>46.73480904570228</v>
      </c>
      <c r="Q107" s="36">
        <f>N107-39005.1</f>
        <v>-19767.042999999987</v>
      </c>
      <c r="R107" s="136">
        <f>N107/39005.1</f>
        <v>0.49321901494932746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320610.6</v>
      </c>
      <c r="F108" s="71">
        <f>F10-F18+F96</f>
        <v>300072.10000000003</v>
      </c>
      <c r="G108" s="153">
        <f>G10-G18+G96</f>
        <v>-20538.49999999997</v>
      </c>
      <c r="H108" s="72">
        <f>F108/E108*100</f>
        <v>93.59394230883198</v>
      </c>
      <c r="I108" s="52">
        <f t="shared" si="34"/>
        <v>-88141.09999999998</v>
      </c>
      <c r="J108" s="52">
        <f t="shared" si="36"/>
        <v>77.29569731271374</v>
      </c>
      <c r="K108" s="52">
        <f>F108-303111.5</f>
        <v>-3039.399999999965</v>
      </c>
      <c r="L108" s="137">
        <f>F108/303111.5</f>
        <v>0.9899726668239246</v>
      </c>
      <c r="M108" s="71">
        <f>M10-M18+M96</f>
        <v>32356.599999999977</v>
      </c>
      <c r="N108" s="71">
        <f>N10-N18+N96</f>
        <v>16676.040000000015</v>
      </c>
      <c r="O108" s="53">
        <f t="shared" si="35"/>
        <v>-15680.559999999961</v>
      </c>
      <c r="P108" s="52">
        <f>N108/M108*100</f>
        <v>51.53829512371518</v>
      </c>
      <c r="Q108" s="52">
        <f>N108-29552.7</f>
        <v>-12876.659999999985</v>
      </c>
      <c r="R108" s="137">
        <f>N108/29552.7</f>
        <v>0.5642814362139505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84116.73999999993</v>
      </c>
      <c r="F109" s="71">
        <f>F107-F108</f>
        <v>77235.70999999996</v>
      </c>
      <c r="G109" s="176">
        <f>F109-E109</f>
        <v>-6881.02999999997</v>
      </c>
      <c r="H109" s="72">
        <f>F109/E109*100</f>
        <v>91.81966633514331</v>
      </c>
      <c r="I109" s="52">
        <f t="shared" si="34"/>
        <v>-41430.69</v>
      </c>
      <c r="J109" s="52">
        <f t="shared" si="36"/>
        <v>65.08641873352524</v>
      </c>
      <c r="K109" s="52">
        <f>F109-94782.1</f>
        <v>-17546.390000000043</v>
      </c>
      <c r="L109" s="137">
        <f>F109/94782.1</f>
        <v>0.8148765431447494</v>
      </c>
      <c r="M109" s="71">
        <f>M107-M108</f>
        <v>8807.699999999997</v>
      </c>
      <c r="N109" s="71">
        <f>N107-N108</f>
        <v>2562.016999999996</v>
      </c>
      <c r="O109" s="53">
        <f t="shared" si="35"/>
        <v>-6245.683000000001</v>
      </c>
      <c r="P109" s="52">
        <f>N109/M109*100</f>
        <v>29.08837721539104</v>
      </c>
      <c r="Q109" s="52">
        <f>N109-9452.4</f>
        <v>-6890.383000000003</v>
      </c>
      <c r="R109" s="137">
        <f>N109/9452.4</f>
        <v>0.2710440734628239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315240.7</v>
      </c>
      <c r="F110" s="71">
        <f>F108</f>
        <v>300072.10000000003</v>
      </c>
      <c r="G110" s="111">
        <f>F110-E110</f>
        <v>-15168.599999999977</v>
      </c>
      <c r="H110" s="72">
        <f>F110/E110*100</f>
        <v>95.18824821794902</v>
      </c>
      <c r="I110" s="81">
        <f t="shared" si="34"/>
        <v>-88141.09999999998</v>
      </c>
      <c r="J110" s="52">
        <f t="shared" si="36"/>
        <v>77.29569731271374</v>
      </c>
      <c r="K110" s="52"/>
      <c r="L110" s="137"/>
      <c r="M110" s="72">
        <f>E110-вересень!E110</f>
        <v>32356.600000000035</v>
      </c>
      <c r="N110" s="71">
        <f>N108</f>
        <v>16676.040000000015</v>
      </c>
      <c r="O110" s="63">
        <f t="shared" si="35"/>
        <v>-15680.56000000002</v>
      </c>
      <c r="P110" s="52">
        <f>N110/M110*100</f>
        <v>51.538295123715095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283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-0.04</v>
      </c>
      <c r="G114" s="49">
        <f aca="true" t="shared" si="37" ref="G114:G126">F114-E114</f>
        <v>-0.04</v>
      </c>
      <c r="H114" s="40"/>
      <c r="I114" s="60">
        <f aca="true" t="shared" si="38" ref="I114:I125">F114-D114</f>
        <v>-0.04</v>
      </c>
      <c r="J114" s="60"/>
      <c r="K114" s="60">
        <f>F114-21.5</f>
        <v>-21.54</v>
      </c>
      <c r="L114" s="138">
        <f>F114/21.5</f>
        <v>-0.0018604651162790699</v>
      </c>
      <c r="M114" s="40">
        <f>E114-вересень!E114</f>
        <v>0</v>
      </c>
      <c r="N114" s="40">
        <f>F114-вересень!F114</f>
        <v>0.1</v>
      </c>
      <c r="O114" s="53"/>
      <c r="P114" s="60"/>
      <c r="Q114" s="60">
        <f>N114-0.9</f>
        <v>-0.8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3007</v>
      </c>
      <c r="F115" s="174">
        <v>1253.23</v>
      </c>
      <c r="G115" s="49">
        <f t="shared" si="37"/>
        <v>-1753.77</v>
      </c>
      <c r="H115" s="40">
        <f aca="true" t="shared" si="39" ref="H115:H126">F115/E115*100</f>
        <v>41.67708679747256</v>
      </c>
      <c r="I115" s="60">
        <f t="shared" si="38"/>
        <v>-2418.27</v>
      </c>
      <c r="J115" s="60">
        <f aca="true" t="shared" si="40" ref="J115:J121">F115/D115*100</f>
        <v>34.134005174996595</v>
      </c>
      <c r="K115" s="60">
        <f>F115-3128</f>
        <v>-1874.77</v>
      </c>
      <c r="L115" s="138">
        <f>F115/3128</f>
        <v>0.40064897698209717</v>
      </c>
      <c r="M115" s="40">
        <f>E115-вересень!E115</f>
        <v>327.4000000000001</v>
      </c>
      <c r="N115" s="40">
        <f>F115-вересень!F115</f>
        <v>130.29999999999995</v>
      </c>
      <c r="O115" s="53">
        <f aca="true" t="shared" si="41" ref="O115:O126">N115-M115</f>
        <v>-197.10000000000014</v>
      </c>
      <c r="P115" s="60">
        <f>N115/M115*100</f>
        <v>39.79841172877212</v>
      </c>
      <c r="Q115" s="60">
        <f>N115-50.4</f>
        <v>79.89999999999995</v>
      </c>
      <c r="R115" s="138">
        <f>N115/50.4</f>
        <v>2.5853174603174596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222.5</v>
      </c>
      <c r="F116" s="172">
        <v>260.03</v>
      </c>
      <c r="G116" s="49">
        <f t="shared" si="37"/>
        <v>37.52999999999997</v>
      </c>
      <c r="H116" s="40">
        <f t="shared" si="39"/>
        <v>116.86741573033707</v>
      </c>
      <c r="I116" s="60">
        <f t="shared" si="38"/>
        <v>-8.07000000000005</v>
      </c>
      <c r="J116" s="60">
        <f t="shared" si="40"/>
        <v>96.98992913092128</v>
      </c>
      <c r="K116" s="60">
        <f>F116-231.4</f>
        <v>28.629999999999967</v>
      </c>
      <c r="L116" s="138">
        <f>F116/231.4</f>
        <v>1.123725151253241</v>
      </c>
      <c r="M116" s="40">
        <f>E116-вересень!E116</f>
        <v>22</v>
      </c>
      <c r="N116" s="40">
        <f>F116-вересень!F116</f>
        <v>22.869999999999976</v>
      </c>
      <c r="O116" s="53">
        <f t="shared" si="41"/>
        <v>0.8699999999999761</v>
      </c>
      <c r="P116" s="60">
        <f>N116/M116*100</f>
        <v>103.95454545454534</v>
      </c>
      <c r="Q116" s="60">
        <f>N116-21.4</f>
        <v>1.4699999999999775</v>
      </c>
      <c r="R116" s="138">
        <f>N116/21.4</f>
        <v>1.0686915887850457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3229.5</v>
      </c>
      <c r="F117" s="173">
        <f>SUM(F114:F116)</f>
        <v>1513.22</v>
      </c>
      <c r="G117" s="62">
        <f t="shared" si="37"/>
        <v>-1716.28</v>
      </c>
      <c r="H117" s="72">
        <f t="shared" si="39"/>
        <v>46.856169685709865</v>
      </c>
      <c r="I117" s="61">
        <f t="shared" si="38"/>
        <v>-2426.38</v>
      </c>
      <c r="J117" s="61">
        <f t="shared" si="40"/>
        <v>38.41049852776931</v>
      </c>
      <c r="K117" s="61">
        <f>F117-33371</f>
        <v>-31857.78</v>
      </c>
      <c r="L117" s="139">
        <f>F117/3371</f>
        <v>0.4488935034114506</v>
      </c>
      <c r="M117" s="62">
        <f>M115+M116+M114</f>
        <v>349.4000000000001</v>
      </c>
      <c r="N117" s="38">
        <f>SUM(N114:N116)</f>
        <v>153.26999999999992</v>
      </c>
      <c r="O117" s="61">
        <f t="shared" si="41"/>
        <v>-196.13000000000017</v>
      </c>
      <c r="P117" s="61">
        <f>N117/M117*100</f>
        <v>43.86662850601027</v>
      </c>
      <c r="Q117" s="61">
        <f>N117-71.8</f>
        <v>81.46999999999993</v>
      </c>
      <c r="R117" s="139">
        <f>N117/71.8</f>
        <v>2.134679665738161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260.5</v>
      </c>
      <c r="F119" s="174">
        <v>323.37</v>
      </c>
      <c r="G119" s="49">
        <f t="shared" si="37"/>
        <v>62.870000000000005</v>
      </c>
      <c r="H119" s="40">
        <f t="shared" si="39"/>
        <v>124.13435700575816</v>
      </c>
      <c r="I119" s="60">
        <f t="shared" si="38"/>
        <v>56.170000000000016</v>
      </c>
      <c r="J119" s="60">
        <f t="shared" si="40"/>
        <v>121.02170658682635</v>
      </c>
      <c r="K119" s="60">
        <f>F119-234.2</f>
        <v>89.17000000000002</v>
      </c>
      <c r="L119" s="138">
        <f>F119/234.2</f>
        <v>1.380742954739539</v>
      </c>
      <c r="M119" s="40">
        <f>E119-вересень!E119</f>
        <v>73</v>
      </c>
      <c r="N119" s="40">
        <f>F119-вересень!F119</f>
        <v>9.220000000000027</v>
      </c>
      <c r="O119" s="53">
        <f>N119-M119</f>
        <v>-63.77999999999997</v>
      </c>
      <c r="P119" s="60">
        <f>N119/M119*100</f>
        <v>12.630136986301407</v>
      </c>
      <c r="Q119" s="60">
        <f>N119-59.7</f>
        <v>-50.479999999999976</v>
      </c>
      <c r="R119" s="138">
        <f>N119/59.7</f>
        <v>0.15443886097152473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60012.6</v>
      </c>
      <c r="F120" s="174">
        <v>63829.31</v>
      </c>
      <c r="G120" s="49">
        <f t="shared" si="37"/>
        <v>3816.709999999999</v>
      </c>
      <c r="H120" s="40">
        <f t="shared" si="39"/>
        <v>106.35984776530263</v>
      </c>
      <c r="I120" s="53">
        <f t="shared" si="38"/>
        <v>-8146.680000000008</v>
      </c>
      <c r="J120" s="60">
        <f t="shared" si="40"/>
        <v>88.6813922253796</v>
      </c>
      <c r="K120" s="60">
        <f>F120-58190.1</f>
        <v>5639.209999999999</v>
      </c>
      <c r="L120" s="138">
        <f>F120/58190.1</f>
        <v>1.0969101273240638</v>
      </c>
      <c r="M120" s="40">
        <f>E120-вересень!E120</f>
        <v>7500</v>
      </c>
      <c r="N120" s="40">
        <f>F120-вересень!F120</f>
        <v>4292.8499999999985</v>
      </c>
      <c r="O120" s="53">
        <f t="shared" si="41"/>
        <v>-3207.1500000000015</v>
      </c>
      <c r="P120" s="60">
        <f aca="true" t="shared" si="42" ref="P120:P125">N120/M120*100</f>
        <v>57.23799999999998</v>
      </c>
      <c r="Q120" s="60">
        <f>N120-7531</f>
        <v>-3238.1500000000015</v>
      </c>
      <c r="R120" s="138">
        <f>N120/7531</f>
        <v>0.5700239012083387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3199.4</v>
      </c>
      <c r="F121" s="174">
        <v>1754.77</v>
      </c>
      <c r="G121" s="49">
        <f t="shared" si="37"/>
        <v>-1444.63</v>
      </c>
      <c r="H121" s="40">
        <f t="shared" si="39"/>
        <v>54.84684628367818</v>
      </c>
      <c r="I121" s="60">
        <f t="shared" si="38"/>
        <v>-2995.23</v>
      </c>
      <c r="J121" s="60">
        <f t="shared" si="40"/>
        <v>36.94252631578948</v>
      </c>
      <c r="K121" s="60">
        <f>F121-1289.6</f>
        <v>465.1700000000001</v>
      </c>
      <c r="L121" s="138">
        <f>F121/1289.6</f>
        <v>1.360708746898263</v>
      </c>
      <c r="M121" s="40">
        <f>E121-вересень!E121</f>
        <v>1476.4</v>
      </c>
      <c r="N121" s="40">
        <f>F121-вересень!F121</f>
        <v>0.03999999999996362</v>
      </c>
      <c r="O121" s="53">
        <f t="shared" si="41"/>
        <v>-1476.3600000000001</v>
      </c>
      <c r="P121" s="60">
        <f t="shared" si="42"/>
        <v>0.0027092928745572754</v>
      </c>
      <c r="Q121" s="60">
        <f>N121-0</f>
        <v>0.03999999999996362</v>
      </c>
      <c r="R121" s="138" t="e">
        <f>N121/0</f>
        <v>#DIV/0!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v>17576.23</v>
      </c>
      <c r="F122" s="174">
        <v>2674.61</v>
      </c>
      <c r="G122" s="49">
        <f t="shared" si="37"/>
        <v>-14901.619999999999</v>
      </c>
      <c r="H122" s="40">
        <f t="shared" si="39"/>
        <v>15.21719959285922</v>
      </c>
      <c r="I122" s="60">
        <f t="shared" si="38"/>
        <v>-20402.52</v>
      </c>
      <c r="J122" s="60">
        <f>F122/D122*100</f>
        <v>11.589872744141061</v>
      </c>
      <c r="K122" s="60">
        <f>F122-22665.8</f>
        <v>-19991.19</v>
      </c>
      <c r="L122" s="138">
        <f>F122/22665.8</f>
        <v>0.11800201184162924</v>
      </c>
      <c r="M122" s="40">
        <f>E122-вересень!E122</f>
        <v>4648.800000000001</v>
      </c>
      <c r="N122" s="40">
        <f>F122-вересень!F122</f>
        <v>281.37000000000035</v>
      </c>
      <c r="O122" s="53">
        <f t="shared" si="41"/>
        <v>-4367.43</v>
      </c>
      <c r="P122" s="60">
        <f t="shared" si="42"/>
        <v>6.052529685080027</v>
      </c>
      <c r="Q122" s="60">
        <f>N122-361.9</f>
        <v>-80.52999999999963</v>
      </c>
      <c r="R122" s="138">
        <f>N122/361.9</f>
        <v>0.77747996684167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1620.81</v>
      </c>
      <c r="F123" s="174">
        <v>1110.6</v>
      </c>
      <c r="G123" s="49">
        <f t="shared" si="37"/>
        <v>-510.21000000000004</v>
      </c>
      <c r="H123" s="40">
        <f t="shared" si="39"/>
        <v>68.52129490810151</v>
      </c>
      <c r="I123" s="60">
        <f t="shared" si="38"/>
        <v>-889.4000000000001</v>
      </c>
      <c r="J123" s="60">
        <f>F123/D123*100</f>
        <v>55.52999999999999</v>
      </c>
      <c r="K123" s="60">
        <f>F123-1722.8</f>
        <v>-612.2</v>
      </c>
      <c r="L123" s="138">
        <f>F123/1722.8</f>
        <v>0.6446482470397028</v>
      </c>
      <c r="M123" s="40">
        <f>E123-вересень!E123</f>
        <v>189.58999999999992</v>
      </c>
      <c r="N123" s="40">
        <f>F123-вересень!F123</f>
        <v>35.68999999999983</v>
      </c>
      <c r="O123" s="53">
        <f t="shared" si="41"/>
        <v>-153.9000000000001</v>
      </c>
      <c r="P123" s="60">
        <f t="shared" si="42"/>
        <v>18.824832533361384</v>
      </c>
      <c r="Q123" s="60">
        <f>N123-62.5</f>
        <v>-26.810000000000173</v>
      </c>
      <c r="R123" s="138">
        <f>N123/62.5</f>
        <v>0.5710399999999972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82669.54</v>
      </c>
      <c r="F124" s="173">
        <f>F120+F121+F122+F123+F119</f>
        <v>69692.66</v>
      </c>
      <c r="G124" s="62">
        <f t="shared" si="37"/>
        <v>-12976.87999999999</v>
      </c>
      <c r="H124" s="72">
        <f t="shared" si="39"/>
        <v>84.30270689784896</v>
      </c>
      <c r="I124" s="61">
        <f t="shared" si="38"/>
        <v>-32377.660000000003</v>
      </c>
      <c r="J124" s="61">
        <f>F124/D124*100</f>
        <v>68.2790648643014</v>
      </c>
      <c r="K124" s="61">
        <f>F124-84102.5</f>
        <v>-14409.839999999997</v>
      </c>
      <c r="L124" s="139">
        <f>F124/84102.5</f>
        <v>0.8286633572129247</v>
      </c>
      <c r="M124" s="62">
        <f>M120+M121+M122+M123+M119</f>
        <v>13887.79</v>
      </c>
      <c r="N124" s="62">
        <f>N120+N121+N122+N123+N119</f>
        <v>4619.169999999998</v>
      </c>
      <c r="O124" s="61">
        <f t="shared" si="41"/>
        <v>-9268.620000000003</v>
      </c>
      <c r="P124" s="61">
        <f t="shared" si="42"/>
        <v>33.26065558306972</v>
      </c>
      <c r="Q124" s="61">
        <f>N124-8015.1</f>
        <v>-3395.930000000002</v>
      </c>
      <c r="R124" s="139">
        <f>N124/8015.1</f>
        <v>0.5763084677670893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31.16</v>
      </c>
      <c r="F125" s="174">
        <v>26.17</v>
      </c>
      <c r="G125" s="49">
        <f t="shared" si="37"/>
        <v>-4.989999999999998</v>
      </c>
      <c r="H125" s="40">
        <f t="shared" si="39"/>
        <v>83.98587933247754</v>
      </c>
      <c r="I125" s="60">
        <f t="shared" si="38"/>
        <v>-17.33</v>
      </c>
      <c r="J125" s="60">
        <f>F125/D125*100</f>
        <v>60.160919540229884</v>
      </c>
      <c r="K125" s="60">
        <f>F125-114</f>
        <v>-87.83</v>
      </c>
      <c r="L125" s="138">
        <f>F125/114</f>
        <v>0.22956140350877194</v>
      </c>
      <c r="M125" s="40">
        <f>E125-вересень!E125</f>
        <v>4</v>
      </c>
      <c r="N125" s="40">
        <f>F125-вересень!F125</f>
        <v>2</v>
      </c>
      <c r="O125" s="53">
        <f t="shared" si="41"/>
        <v>-2</v>
      </c>
      <c r="P125" s="60">
        <f t="shared" si="42"/>
        <v>50</v>
      </c>
      <c r="Q125" s="60">
        <f>N125-2.2</f>
        <v>-0.20000000000000018</v>
      </c>
      <c r="R125" s="138">
        <f>N125/2.2</f>
        <v>0.9090909090909091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E126-вересень!E126</f>
        <v>0</v>
      </c>
      <c r="N126" s="40">
        <f>F126-вересень!F126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F127-17.2</f>
        <v>2.280000000000001</v>
      </c>
      <c r="L127" s="138">
        <f>F127/17.2</f>
        <v>1.1325581395348838</v>
      </c>
      <c r="M127" s="40">
        <f>E127-вересень!E127</f>
        <v>0</v>
      </c>
      <c r="N127" s="40">
        <f>F127-вересень!F127</f>
        <v>0</v>
      </c>
      <c r="O127" s="53"/>
      <c r="P127" s="63"/>
      <c r="Q127" s="53">
        <f>N127-8.7</f>
        <v>-8.7</v>
      </c>
      <c r="R127" s="162">
        <f>N127/8.7</f>
        <v>0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6720.5</v>
      </c>
      <c r="F128" s="174">
        <v>7374.29</v>
      </c>
      <c r="G128" s="49">
        <f aca="true" t="shared" si="43" ref="G128:G135">F128-E128</f>
        <v>653.79</v>
      </c>
      <c r="H128" s="40">
        <f>F128/E128*100</f>
        <v>109.72829402574213</v>
      </c>
      <c r="I128" s="60">
        <f aca="true" t="shared" si="44" ref="I128:I135">F128-D128</f>
        <v>-1325.71</v>
      </c>
      <c r="J128" s="60">
        <f>F128/D128*100</f>
        <v>84.7619540229885</v>
      </c>
      <c r="K128" s="60">
        <f>F128-8728.7</f>
        <v>-1354.4100000000008</v>
      </c>
      <c r="L128" s="138">
        <f>F128/8728.7</f>
        <v>0.8448325638411217</v>
      </c>
      <c r="M128" s="40">
        <f>E128-вересень!E128</f>
        <v>2</v>
      </c>
      <c r="N128" s="40">
        <f>F128-вересень!F128</f>
        <v>5.4099999999998545</v>
      </c>
      <c r="O128" s="53">
        <f aca="true" t="shared" si="45" ref="O128:O135">N128-M128</f>
        <v>3.4099999999998545</v>
      </c>
      <c r="P128" s="60">
        <f>N128/M128*100</f>
        <v>270.4999999999927</v>
      </c>
      <c r="Q128" s="60">
        <f>N128-13.5</f>
        <v>-8.090000000000146</v>
      </c>
      <c r="R128" s="162">
        <f>N128/13.5</f>
        <v>0.40074074074072996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1.12</v>
      </c>
      <c r="G129" s="49">
        <f t="shared" si="43"/>
        <v>1.12</v>
      </c>
      <c r="H129" s="40"/>
      <c r="I129" s="60">
        <f t="shared" si="44"/>
        <v>1.12</v>
      </c>
      <c r="J129" s="60"/>
      <c r="K129" s="60">
        <f>F129-1.1</f>
        <v>0.020000000000000018</v>
      </c>
      <c r="L129" s="138">
        <f>F129/1.1</f>
        <v>1.0181818181818183</v>
      </c>
      <c r="M129" s="40">
        <f>E129-вересень!E129</f>
        <v>0</v>
      </c>
      <c r="N129" s="40">
        <f>F129-вересень!F129</f>
        <v>0.040000000000000036</v>
      </c>
      <c r="O129" s="53">
        <f t="shared" si="45"/>
        <v>0.040000000000000036</v>
      </c>
      <c r="P129" s="60"/>
      <c r="Q129" s="60">
        <f>N129-0.1</f>
        <v>-0.05999999999999997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6758.86</v>
      </c>
      <c r="F130" s="173">
        <f>F128+F125+F129+F127</f>
        <v>7421.0599999999995</v>
      </c>
      <c r="G130" s="62">
        <f t="shared" si="43"/>
        <v>662.1999999999998</v>
      </c>
      <c r="H130" s="72">
        <f>F130/E130*100</f>
        <v>109.7975102310153</v>
      </c>
      <c r="I130" s="61">
        <f t="shared" si="44"/>
        <v>-1329.6400000000012</v>
      </c>
      <c r="J130" s="61">
        <f>F130/D130*100</f>
        <v>84.80532985932552</v>
      </c>
      <c r="K130" s="61">
        <f>F130-8860.9</f>
        <v>-1439.8400000000001</v>
      </c>
      <c r="L130" s="139">
        <f>G130/8860.9</f>
        <v>0.07473281495107718</v>
      </c>
      <c r="M130" s="62">
        <f>M125+M128+M129+M127</f>
        <v>6</v>
      </c>
      <c r="N130" s="62">
        <f>N125+N128+N129+N127</f>
        <v>7.4499999999998545</v>
      </c>
      <c r="O130" s="61">
        <f t="shared" si="45"/>
        <v>1.4499999999998545</v>
      </c>
      <c r="P130" s="61">
        <f>N130/M130*100</f>
        <v>124.16666666666426</v>
      </c>
      <c r="Q130" s="61">
        <f>N130-24.5</f>
        <v>-17.050000000000146</v>
      </c>
      <c r="R130" s="137">
        <f>N130/24.5</f>
        <v>0.30408163265305527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23.85</v>
      </c>
      <c r="F131" s="174">
        <v>32.63</v>
      </c>
      <c r="G131" s="49">
        <f>F131-E131</f>
        <v>8.780000000000001</v>
      </c>
      <c r="H131" s="40">
        <f>F131/E131*100</f>
        <v>136.81341719077568</v>
      </c>
      <c r="I131" s="60">
        <f>F131-D131</f>
        <v>2.6300000000000026</v>
      </c>
      <c r="J131" s="60">
        <f>F131/D131*100</f>
        <v>108.76666666666668</v>
      </c>
      <c r="K131" s="60">
        <f>F131-28</f>
        <v>4.630000000000003</v>
      </c>
      <c r="L131" s="138">
        <f>F131/28</f>
        <v>1.165357142857143</v>
      </c>
      <c r="M131" s="40">
        <f>E131-вересень!E131</f>
        <v>0.40000000000000213</v>
      </c>
      <c r="N131" s="40">
        <f>F131-вересень!F131</f>
        <v>0.7700000000000031</v>
      </c>
      <c r="O131" s="53">
        <f>N131-M131</f>
        <v>0.370000000000001</v>
      </c>
      <c r="P131" s="60">
        <f>N131/M131*100</f>
        <v>192.49999999999977</v>
      </c>
      <c r="Q131" s="60">
        <f>N131-2.6</f>
        <v>-1.829999999999997</v>
      </c>
      <c r="R131" s="138">
        <f>N131/2.6</f>
        <v>0.2961538461538473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E132-вересень!E132</f>
        <v>0</v>
      </c>
      <c r="N132" s="40">
        <f>F132-вересень!F132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E133-вересень!E133</f>
        <v>0</v>
      </c>
      <c r="N133" s="40">
        <f>F133-вересень!F133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92681.75</v>
      </c>
      <c r="F134" s="31">
        <f>F117+F131+F124+F130+F133+F132</f>
        <v>78659.57</v>
      </c>
      <c r="G134" s="50">
        <f t="shared" si="43"/>
        <v>-14022.179999999993</v>
      </c>
      <c r="H134" s="51">
        <f>F134/E134*100</f>
        <v>84.87061368608167</v>
      </c>
      <c r="I134" s="36">
        <f t="shared" si="44"/>
        <v>-36131.05</v>
      </c>
      <c r="J134" s="36">
        <f>F134/D134*100</f>
        <v>68.52438814251548</v>
      </c>
      <c r="K134" s="36">
        <f>F134-96362.3</f>
        <v>-17702.729999999996</v>
      </c>
      <c r="L134" s="136">
        <f>F134/96362.3</f>
        <v>0.816289876850179</v>
      </c>
      <c r="M134" s="31">
        <f>M117+M131+M124+M130+M133+M132</f>
        <v>14243.59</v>
      </c>
      <c r="N134" s="31">
        <f>N117+N131+N124+N130+N133+N132</f>
        <v>4780.659999999998</v>
      </c>
      <c r="O134" s="36">
        <f t="shared" si="45"/>
        <v>-9462.930000000002</v>
      </c>
      <c r="P134" s="36">
        <f>N134/M134*100</f>
        <v>33.56358895475086</v>
      </c>
      <c r="Q134" s="36">
        <f>N134-8114</f>
        <v>-3333.340000000002</v>
      </c>
      <c r="R134" s="136">
        <f>N134/8114</f>
        <v>0.5891865910771503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497409.0899999999</v>
      </c>
      <c r="F135" s="31">
        <f>F107+F134</f>
        <v>455967.38</v>
      </c>
      <c r="G135" s="50">
        <f t="shared" si="43"/>
        <v>-41441.709999999905</v>
      </c>
      <c r="H135" s="51">
        <f>F135/E135*100</f>
        <v>91.66848559201041</v>
      </c>
      <c r="I135" s="36">
        <f t="shared" si="44"/>
        <v>-165702.83999999997</v>
      </c>
      <c r="J135" s="36">
        <f>F135/D135*100</f>
        <v>73.34554001959431</v>
      </c>
      <c r="K135" s="36">
        <f>F135-494255.9</f>
        <v>-38288.52000000002</v>
      </c>
      <c r="L135" s="136">
        <f>F135/494255.9</f>
        <v>0.9225330036525613</v>
      </c>
      <c r="M135" s="22">
        <f>M107+M134</f>
        <v>55407.88999999997</v>
      </c>
      <c r="N135" s="22">
        <f>N107+N134</f>
        <v>24018.71700000001</v>
      </c>
      <c r="O135" s="36">
        <f t="shared" si="45"/>
        <v>-31389.17299999996</v>
      </c>
      <c r="P135" s="36">
        <f>N135/M135*100</f>
        <v>43.348911138828825</v>
      </c>
      <c r="Q135" s="36">
        <f>N135-47119.1</f>
        <v>-23100.382999999987</v>
      </c>
      <c r="R135" s="136">
        <f>N135/47119.1</f>
        <v>0.5097448168577077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11</v>
      </c>
      <c r="D137" s="4" t="s">
        <v>118</v>
      </c>
    </row>
    <row r="138" spans="2:17" ht="31.5">
      <c r="B138" s="78" t="s">
        <v>154</v>
      </c>
      <c r="C138" s="39">
        <f>IF(O107&lt;0,ABS(O107/C137),0)</f>
        <v>1993.2948181818147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41928</v>
      </c>
      <c r="D139" s="39">
        <v>1785.8</v>
      </c>
      <c r="N139" s="194"/>
      <c r="O139" s="194"/>
    </row>
    <row r="140" spans="3:15" ht="15.75">
      <c r="C140" s="120">
        <v>41927</v>
      </c>
      <c r="D140" s="39">
        <v>3086.9</v>
      </c>
      <c r="F140" s="4" t="s">
        <v>166</v>
      </c>
      <c r="G140" s="190" t="s">
        <v>151</v>
      </c>
      <c r="H140" s="190"/>
      <c r="I140" s="115">
        <v>9020.59653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41926</v>
      </c>
      <c r="D141" s="39">
        <v>1319.8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115419.50253</v>
      </c>
      <c r="E143" s="80"/>
      <c r="F143" s="100" t="s">
        <v>147</v>
      </c>
      <c r="G143" s="190" t="s">
        <v>149</v>
      </c>
      <c r="H143" s="190"/>
      <c r="I143" s="116">
        <v>106398.906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19810.60533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35" right="0.18" top="0.29" bottom="0.38" header="0.2" footer="0.29"/>
  <pageSetup fitToHeight="1" fitToWidth="1" horizontalDpi="600" verticalDpi="600" orientation="portrait" paperSize="9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4" sqref="F10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210" t="s">
        <v>183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229" t="s">
        <v>192</v>
      </c>
      <c r="E3" s="46"/>
      <c r="F3" s="230" t="s">
        <v>107</v>
      </c>
      <c r="G3" s="231"/>
      <c r="H3" s="231"/>
      <c r="I3" s="231"/>
      <c r="J3" s="232"/>
      <c r="K3" s="123"/>
      <c r="L3" s="123"/>
      <c r="M3" s="208" t="s">
        <v>200</v>
      </c>
      <c r="N3" s="224" t="s">
        <v>178</v>
      </c>
      <c r="O3" s="224"/>
      <c r="P3" s="224"/>
      <c r="Q3" s="224"/>
      <c r="R3" s="224"/>
    </row>
    <row r="4" spans="1:18" ht="22.5" customHeight="1">
      <c r="A4" s="180"/>
      <c r="B4" s="182"/>
      <c r="C4" s="183"/>
      <c r="D4" s="229"/>
      <c r="E4" s="234" t="s">
        <v>153</v>
      </c>
      <c r="F4" s="225" t="s">
        <v>116</v>
      </c>
      <c r="G4" s="227" t="s">
        <v>175</v>
      </c>
      <c r="H4" s="206" t="s">
        <v>176</v>
      </c>
      <c r="I4" s="222" t="s">
        <v>188</v>
      </c>
      <c r="J4" s="220" t="s">
        <v>189</v>
      </c>
      <c r="K4" s="125" t="s">
        <v>174</v>
      </c>
      <c r="L4" s="130" t="s">
        <v>173</v>
      </c>
      <c r="M4" s="236"/>
      <c r="N4" s="200" t="s">
        <v>186</v>
      </c>
      <c r="O4" s="222" t="s">
        <v>136</v>
      </c>
      <c r="P4" s="224" t="s">
        <v>135</v>
      </c>
      <c r="Q4" s="131" t="s">
        <v>174</v>
      </c>
      <c r="R4" s="132" t="s">
        <v>173</v>
      </c>
    </row>
    <row r="5" spans="1:18" ht="82.5" customHeight="1">
      <c r="A5" s="181"/>
      <c r="B5" s="182"/>
      <c r="C5" s="183"/>
      <c r="D5" s="229"/>
      <c r="E5" s="235"/>
      <c r="F5" s="226"/>
      <c r="G5" s="228"/>
      <c r="H5" s="207"/>
      <c r="I5" s="223"/>
      <c r="J5" s="221"/>
      <c r="K5" s="197" t="s">
        <v>177</v>
      </c>
      <c r="L5" s="198"/>
      <c r="M5" s="209"/>
      <c r="N5" s="201"/>
      <c r="O5" s="223"/>
      <c r="P5" s="224"/>
      <c r="Q5" s="197" t="s">
        <v>179</v>
      </c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64.93</v>
      </c>
      <c r="G102" s="144"/>
      <c r="H102" s="146"/>
      <c r="I102" s="145"/>
      <c r="J102" s="145"/>
      <c r="K102" s="145">
        <f>F102-30.6</f>
        <v>34.330000000000005</v>
      </c>
      <c r="L102" s="148">
        <f>F102/30.6*100</f>
        <v>212.18954248366012</v>
      </c>
      <c r="M102" s="40">
        <f t="shared" si="39"/>
        <v>0</v>
      </c>
      <c r="N102" s="40">
        <f t="shared" si="40"/>
        <v>64.93</v>
      </c>
      <c r="O102" s="53"/>
      <c r="P102" s="56"/>
      <c r="Q102" s="56">
        <f>N102-30.6</f>
        <v>34.330000000000005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94"/>
      <c r="O138" s="194"/>
    </row>
    <row r="139" spans="3:15" ht="15.75">
      <c r="C139" s="120">
        <v>41669</v>
      </c>
      <c r="D139" s="39">
        <v>4752.2</v>
      </c>
      <c r="F139" s="4" t="s">
        <v>166</v>
      </c>
      <c r="G139" s="190" t="s">
        <v>151</v>
      </c>
      <c r="H139" s="190"/>
      <c r="I139" s="115">
        <v>13825.22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41668</v>
      </c>
      <c r="D140" s="39">
        <v>1984.7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111410.62</v>
      </c>
      <c r="E142" s="80"/>
      <c r="F142" s="100" t="s">
        <v>147</v>
      </c>
      <c r="G142" s="190" t="s">
        <v>149</v>
      </c>
      <c r="H142" s="190"/>
      <c r="I142" s="116">
        <v>97585.4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0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B114" sqref="B114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276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272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269</v>
      </c>
      <c r="H4" s="206" t="s">
        <v>270</v>
      </c>
      <c r="I4" s="202" t="s">
        <v>188</v>
      </c>
      <c r="J4" s="208" t="s">
        <v>189</v>
      </c>
      <c r="K4" s="195" t="s">
        <v>274</v>
      </c>
      <c r="L4" s="196"/>
      <c r="M4" s="216"/>
      <c r="N4" s="200" t="s">
        <v>277</v>
      </c>
      <c r="O4" s="202" t="s">
        <v>136</v>
      </c>
      <c r="P4" s="202" t="s">
        <v>135</v>
      </c>
      <c r="Q4" s="195" t="s">
        <v>275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268</v>
      </c>
      <c r="F5" s="219"/>
      <c r="G5" s="205"/>
      <c r="H5" s="207"/>
      <c r="I5" s="203"/>
      <c r="J5" s="209"/>
      <c r="K5" s="197"/>
      <c r="L5" s="198"/>
      <c r="M5" s="151" t="s">
        <v>271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351358.83999999997</v>
      </c>
      <c r="F8" s="22">
        <f>F10+F19+F33+F56+F68+F30</f>
        <v>348290.05000000005</v>
      </c>
      <c r="G8" s="22">
        <f aca="true" t="shared" si="0" ref="G8:G30">F8-E8</f>
        <v>-3068.789999999921</v>
      </c>
      <c r="H8" s="51">
        <f>F8/E8*100</f>
        <v>99.1265937694922</v>
      </c>
      <c r="I8" s="36">
        <f aca="true" t="shared" si="1" ref="I8:I17">F8-D8</f>
        <v>-140186.24999999994</v>
      </c>
      <c r="J8" s="36">
        <f aca="true" t="shared" si="2" ref="J8:J14">F8/D8*100</f>
        <v>71.30132004357223</v>
      </c>
      <c r="K8" s="36">
        <f>F8-344287.2</f>
        <v>4002.850000000035</v>
      </c>
      <c r="L8" s="136">
        <f>F8/344287.2</f>
        <v>1.0116264850973258</v>
      </c>
      <c r="M8" s="22">
        <f>M10+M19+M33+M56+M68+M30</f>
        <v>39345.45</v>
      </c>
      <c r="N8" s="22">
        <f>N10+N19+N33+N56+N68+N30</f>
        <v>39354.28</v>
      </c>
      <c r="O8" s="36">
        <f aca="true" t="shared" si="3" ref="O8:O71">N8-M8</f>
        <v>8.830000000001746</v>
      </c>
      <c r="P8" s="36">
        <f>F8/M8*100</f>
        <v>885.2104881250566</v>
      </c>
      <c r="Q8" s="36">
        <f>N8-37510.4</f>
        <v>1843.8799999999974</v>
      </c>
      <c r="R8" s="134">
        <f>N8/37510.4</f>
        <v>1.0491565005971677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282613.68</v>
      </c>
      <c r="G9" s="22">
        <f t="shared" si="0"/>
        <v>282613.68</v>
      </c>
      <c r="H9" s="20"/>
      <c r="I9" s="56">
        <f t="shared" si="1"/>
        <v>-104399.52000000002</v>
      </c>
      <c r="J9" s="56">
        <f t="shared" si="2"/>
        <v>73.02429994635841</v>
      </c>
      <c r="K9" s="56"/>
      <c r="L9" s="135"/>
      <c r="M9" s="20">
        <f>M10+M17</f>
        <v>32323.5</v>
      </c>
      <c r="N9" s="20">
        <f>N10+N17</f>
        <v>32335.25</v>
      </c>
      <c r="O9" s="36">
        <f t="shared" si="3"/>
        <v>11.75</v>
      </c>
      <c r="P9" s="56">
        <f>F9/M9*100</f>
        <v>874.3288319643602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287459.5</v>
      </c>
      <c r="F10" s="169">
        <v>282613.68</v>
      </c>
      <c r="G10" s="49">
        <f t="shared" si="0"/>
        <v>-4845.820000000007</v>
      </c>
      <c r="H10" s="40">
        <f aca="true" t="shared" si="4" ref="H10:H17">F10/E10*100</f>
        <v>98.31425992183247</v>
      </c>
      <c r="I10" s="56">
        <f t="shared" si="1"/>
        <v>-104399.52000000002</v>
      </c>
      <c r="J10" s="56">
        <f t="shared" si="2"/>
        <v>73.02429994635841</v>
      </c>
      <c r="K10" s="141">
        <f>F10-272674.4</f>
        <v>9939.27999999997</v>
      </c>
      <c r="L10" s="142">
        <f>F10/272674.4</f>
        <v>1.0364510933186246</v>
      </c>
      <c r="M10" s="40">
        <f>E10-серпень!E10</f>
        <v>32323.5</v>
      </c>
      <c r="N10" s="40">
        <f>F10-серпень!F10</f>
        <v>32335.25</v>
      </c>
      <c r="O10" s="53">
        <f t="shared" si="3"/>
        <v>11.75</v>
      </c>
      <c r="P10" s="56">
        <f aca="true" t="shared" si="5" ref="P10:P17">N10/M10*100</f>
        <v>100.03635126146611</v>
      </c>
      <c r="Q10" s="141">
        <f>N10-29967.1</f>
        <v>2368.1500000000015</v>
      </c>
      <c r="R10" s="142">
        <f>N10/29967.1</f>
        <v>1.0790249974138306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E11-серпень!E11</f>
        <v>0</v>
      </c>
      <c r="N11" s="40">
        <f>F11-серпень!F11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E12-серпень!E12</f>
        <v>0</v>
      </c>
      <c r="N12" s="40">
        <f>F12-серпень!F12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E13-серпень!E13</f>
        <v>0</v>
      </c>
      <c r="N13" s="40">
        <f>F13-серпень!F13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E14-серпень!E14</f>
        <v>0</v>
      </c>
      <c r="N14" s="40">
        <f>F14-серпень!F14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E15-серпень!E15</f>
        <v>0</v>
      </c>
      <c r="N15" s="40">
        <f>F15-серпень!F15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E16-серпень!E16</f>
        <v>0</v>
      </c>
      <c r="N16" s="40">
        <f>F16-серпень!F16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E17-серпень!E17</f>
        <v>0</v>
      </c>
      <c r="N17" s="40">
        <f>F17-серпень!F17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E18-серпень!E18</f>
        <v>0</v>
      </c>
      <c r="N18" s="40">
        <f>F18-серпень!F18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1056.6</v>
      </c>
      <c r="F19" s="169">
        <v>-404.47</v>
      </c>
      <c r="G19" s="49">
        <f t="shared" si="0"/>
        <v>-1461.07</v>
      </c>
      <c r="H19" s="40">
        <f aca="true" t="shared" si="6" ref="H19:H29">F19/E19*100</f>
        <v>-38.28033314404695</v>
      </c>
      <c r="I19" s="56">
        <f aca="true" t="shared" si="7" ref="I19:I29">F19-D19</f>
        <v>-1404.47</v>
      </c>
      <c r="J19" s="56">
        <f aca="true" t="shared" si="8" ref="J19:J29">F19/D19*100</f>
        <v>-40.447</v>
      </c>
      <c r="K19" s="167">
        <f>F19-6479.1</f>
        <v>-6883.570000000001</v>
      </c>
      <c r="L19" s="168">
        <f>F19/6479.1</f>
        <v>-0.06242688027658162</v>
      </c>
      <c r="M19" s="40">
        <f>E19-серпень!E19</f>
        <v>11</v>
      </c>
      <c r="N19" s="40">
        <f>F19-серпень!F19</f>
        <v>-477.18</v>
      </c>
      <c r="O19" s="53">
        <f t="shared" si="3"/>
        <v>-488.18</v>
      </c>
      <c r="P19" s="56">
        <f aca="true" t="shared" si="9" ref="P19:P29">N19/M19*100</f>
        <v>-4338</v>
      </c>
      <c r="Q19" s="56">
        <f>N19-362</f>
        <v>-839.1800000000001</v>
      </c>
      <c r="R19" s="135">
        <f>N19/362</f>
        <v>-1.3181767955801105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E20-серпень!E20</f>
        <v>0</v>
      </c>
      <c r="N20" s="40">
        <f>F20-серпень!F20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E21-серпень!E21</f>
        <v>0</v>
      </c>
      <c r="N21" s="40">
        <f>F21-серпень!F21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E22-серпень!E22</f>
        <v>0</v>
      </c>
      <c r="N22" s="40">
        <f>F22-серпень!F22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E23-серпень!E23</f>
        <v>0</v>
      </c>
      <c r="N23" s="40">
        <f>F23-серпень!F23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E24-серпень!E24</f>
        <v>0</v>
      </c>
      <c r="N24" s="40">
        <f>F24-серпень!F24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E25-серпень!E25</f>
        <v>0</v>
      </c>
      <c r="N25" s="40">
        <f>F25-серпень!F25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E26-серпень!E26</f>
        <v>0</v>
      </c>
      <c r="N26" s="40">
        <f>F26-серпень!F26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E27-серпень!E27</f>
        <v>0</v>
      </c>
      <c r="N27" s="40">
        <f>F27-серпень!F27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E28-серпень!E28</f>
        <v>0</v>
      </c>
      <c r="N28" s="40">
        <f>F28-серпень!F28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796.6</v>
      </c>
      <c r="F29" s="170">
        <v>95.61</v>
      </c>
      <c r="G29" s="49">
        <f t="shared" si="0"/>
        <v>-700.99</v>
      </c>
      <c r="H29" s="40">
        <f t="shared" si="6"/>
        <v>12.002259603314085</v>
      </c>
      <c r="I29" s="56">
        <f t="shared" si="7"/>
        <v>-834.39</v>
      </c>
      <c r="J29" s="56">
        <f t="shared" si="8"/>
        <v>10.280645161290321</v>
      </c>
      <c r="K29" s="148">
        <f>F29-2860</f>
        <v>-2764.39</v>
      </c>
      <c r="L29" s="149">
        <f>F29/2860</f>
        <v>0.03343006993006993</v>
      </c>
      <c r="M29" s="40">
        <f>E29-серпень!E29</f>
        <v>11</v>
      </c>
      <c r="N29" s="40">
        <f>F29-серпень!F29</f>
        <v>-477.51</v>
      </c>
      <c r="O29" s="148">
        <f t="shared" si="3"/>
        <v>-488.51</v>
      </c>
      <c r="P29" s="145">
        <f t="shared" si="9"/>
        <v>-4341</v>
      </c>
      <c r="Q29" s="148">
        <f>N29-361.95</f>
        <v>-839.46</v>
      </c>
      <c r="R29" s="149">
        <f>N29/361.95</f>
        <v>-1.3192706174886035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E30-серпень!E30</f>
        <v>0</v>
      </c>
      <c r="N30" s="40">
        <f>F30-серпень!F30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E31-серпень!E31</f>
        <v>0</v>
      </c>
      <c r="N31" s="40">
        <f>F31-серпень!F31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E32-серпень!E32</f>
        <v>0</v>
      </c>
      <c r="N32" s="40">
        <f>F32-серпень!F32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57702.14</v>
      </c>
      <c r="F33" s="169">
        <v>61232.46</v>
      </c>
      <c r="G33" s="49">
        <f aca="true" t="shared" si="14" ref="G33:G72">F33-E33</f>
        <v>3530.3199999999997</v>
      </c>
      <c r="H33" s="40">
        <f aca="true" t="shared" si="15" ref="H33:H67">F33/E33*100</f>
        <v>106.11817863254291</v>
      </c>
      <c r="I33" s="56">
        <f>F33-D33</f>
        <v>-32333.54</v>
      </c>
      <c r="J33" s="56">
        <f aca="true" t="shared" si="16" ref="J33:J72">F33/D33*100</f>
        <v>65.44306692602014</v>
      </c>
      <c r="K33" s="141">
        <f>F33-60413.2</f>
        <v>819.260000000002</v>
      </c>
      <c r="L33" s="142">
        <f>F33/60413.2</f>
        <v>1.0135609436348347</v>
      </c>
      <c r="M33" s="40">
        <f>E33-серпень!E33</f>
        <v>6401.3499999999985</v>
      </c>
      <c r="N33" s="40">
        <f>F33-серпень!F33</f>
        <v>6939.720000000001</v>
      </c>
      <c r="O33" s="53">
        <f t="shared" si="3"/>
        <v>538.3700000000026</v>
      </c>
      <c r="P33" s="56">
        <f aca="true" t="shared" si="17" ref="P33:P67">N33/M33*100</f>
        <v>108.41025721136953</v>
      </c>
      <c r="Q33" s="141">
        <f>N33-6624.9</f>
        <v>314.8200000000015</v>
      </c>
      <c r="R33" s="142">
        <f>N33/6624.9</f>
        <v>1.047520717293846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E34-серпень!E34</f>
        <v>0</v>
      </c>
      <c r="N34" s="40">
        <f>F34-серпень!F34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E35-серпень!E35</f>
        <v>0</v>
      </c>
      <c r="N35" s="40">
        <f>F35-серпень!F35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E36-серпень!E36</f>
        <v>0</v>
      </c>
      <c r="N36" s="40">
        <f>F36-серпень!F36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E37-серпень!E37</f>
        <v>0</v>
      </c>
      <c r="N37" s="40">
        <f>F37-серпень!F37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E38-серпень!E38</f>
        <v>0</v>
      </c>
      <c r="N38" s="40">
        <f>F38-серпень!F38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E39-серпень!E39</f>
        <v>0</v>
      </c>
      <c r="N39" s="40">
        <f>F39-серпень!F39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E40-серпень!E40</f>
        <v>0</v>
      </c>
      <c r="N40" s="40">
        <f>F40-серпень!F40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E41-серпень!E41</f>
        <v>0</v>
      </c>
      <c r="N41" s="40">
        <f>F41-серпень!F41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E42-серпень!E42</f>
        <v>0</v>
      </c>
      <c r="N42" s="40">
        <f>F42-серпень!F42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E43-серпень!E43</f>
        <v>0</v>
      </c>
      <c r="N43" s="40">
        <f>F43-серпень!F43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E44-серпень!E44</f>
        <v>0</v>
      </c>
      <c r="N44" s="40">
        <f>F44-серпень!F44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E45-серпень!E45</f>
        <v>0</v>
      </c>
      <c r="N45" s="40">
        <f>F45-серпень!F45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E46-серпень!E46</f>
        <v>0</v>
      </c>
      <c r="N46" s="40">
        <f>F46-серпень!F46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E47-серпень!E47</f>
        <v>0</v>
      </c>
      <c r="N47" s="40">
        <f>F47-серпень!F47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E48-серпень!E48</f>
        <v>0</v>
      </c>
      <c r="N48" s="40">
        <f>F48-серпень!F48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E49-серпень!E49</f>
        <v>0</v>
      </c>
      <c r="N49" s="40">
        <f>F49-серпень!F49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E50-серпень!E50</f>
        <v>0</v>
      </c>
      <c r="N50" s="40">
        <f>F50-серпень!F50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E51-серпень!E51</f>
        <v>0</v>
      </c>
      <c r="N51" s="40">
        <f>F51-серпень!F51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E52-серпень!E52</f>
        <v>0</v>
      </c>
      <c r="N52" s="40">
        <f>F52-серпень!F52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E53-серпень!E53</f>
        <v>0</v>
      </c>
      <c r="N53" s="40">
        <f>F53-серпень!F53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E54-серпень!E54</f>
        <v>0</v>
      </c>
      <c r="N54" s="40">
        <f>F54-серпень!F54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42471.84</v>
      </c>
      <c r="F55" s="170">
        <v>45421.4</v>
      </c>
      <c r="G55" s="144">
        <f t="shared" si="14"/>
        <v>2949.560000000005</v>
      </c>
      <c r="H55" s="146">
        <f t="shared" si="15"/>
        <v>106.94474268126835</v>
      </c>
      <c r="I55" s="145">
        <f t="shared" si="18"/>
        <v>-24844.6</v>
      </c>
      <c r="J55" s="145">
        <f t="shared" si="16"/>
        <v>64.64207440298296</v>
      </c>
      <c r="K55" s="148">
        <f>F55-43813.51</f>
        <v>1607.8899999999994</v>
      </c>
      <c r="L55" s="149">
        <f>F55/43813.51</f>
        <v>1.0366984977921194</v>
      </c>
      <c r="M55" s="40">
        <f>E55-серпень!E55</f>
        <v>4681.3499999999985</v>
      </c>
      <c r="N55" s="40">
        <f>F55-серпень!F55</f>
        <v>5281.130000000005</v>
      </c>
      <c r="O55" s="148">
        <f t="shared" si="3"/>
        <v>599.7800000000061</v>
      </c>
      <c r="P55" s="148">
        <f t="shared" si="17"/>
        <v>112.81211616307276</v>
      </c>
      <c r="Q55" s="160">
        <f>N55-4961.43</f>
        <v>319.70000000000437</v>
      </c>
      <c r="R55" s="161">
        <f>N55/7961.43</f>
        <v>0.6633393749615338</v>
      </c>
    </row>
    <row r="56" spans="1:18" s="6" customFormat="1" ht="30" customHeight="1">
      <c r="A56" s="8"/>
      <c r="B56" s="15" t="s">
        <v>53</v>
      </c>
      <c r="C56" s="177" t="s">
        <v>284</v>
      </c>
      <c r="D56" s="41">
        <v>6860</v>
      </c>
      <c r="E56" s="41">
        <v>5113.5</v>
      </c>
      <c r="F56" s="169">
        <f>1.51+4842.02</f>
        <v>4843.530000000001</v>
      </c>
      <c r="G56" s="49">
        <f t="shared" si="14"/>
        <v>-269.96999999999935</v>
      </c>
      <c r="H56" s="40">
        <f t="shared" si="15"/>
        <v>94.72044587855677</v>
      </c>
      <c r="I56" s="56">
        <f t="shared" si="18"/>
        <v>-2016.4699999999993</v>
      </c>
      <c r="J56" s="56">
        <f t="shared" si="16"/>
        <v>70.60539358600583</v>
      </c>
      <c r="K56" s="56">
        <f>F56-4694.5</f>
        <v>149.03000000000065</v>
      </c>
      <c r="L56" s="135">
        <f>F56/4694.5</f>
        <v>1.0317456598146768</v>
      </c>
      <c r="M56" s="40">
        <f>E56-серпень!E56</f>
        <v>609.6000000000004</v>
      </c>
      <c r="N56" s="40">
        <f>F56-серпень!F56</f>
        <v>556.2400000000007</v>
      </c>
      <c r="O56" s="53">
        <f t="shared" si="3"/>
        <v>-53.35999999999967</v>
      </c>
      <c r="P56" s="56">
        <f t="shared" si="17"/>
        <v>91.24671916010504</v>
      </c>
      <c r="Q56" s="56">
        <f>N56-556.2</f>
        <v>0.04000000000064574</v>
      </c>
      <c r="R56" s="135">
        <f>N56/556.2</f>
        <v>1.0000719165767722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E57-серпень!E57</f>
        <v>0</v>
      </c>
      <c r="N57" s="40">
        <f>F57-серпень!F57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E58-серпень!E58</f>
        <v>0</v>
      </c>
      <c r="N58" s="40">
        <f>F58-серпень!F58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E59-серпень!E59</f>
        <v>0</v>
      </c>
      <c r="N59" s="40">
        <f>F59-серпень!F59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E60-серпень!E60</f>
        <v>0</v>
      </c>
      <c r="N60" s="40">
        <f>F60-серпень!F60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E61-серпень!E61</f>
        <v>0</v>
      </c>
      <c r="N61" s="40">
        <f>F61-серпень!F61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E62-серпень!E62</f>
        <v>0</v>
      </c>
      <c r="N62" s="40">
        <f>F62-серпень!F62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E63-серпень!E63</f>
        <v>0</v>
      </c>
      <c r="N63" s="40">
        <f>F63-серпень!F63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E64-серпень!E64</f>
        <v>0</v>
      </c>
      <c r="N64" s="40">
        <f>F64-серпень!F64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E65-серпень!E65</f>
        <v>0</v>
      </c>
      <c r="N65" s="40">
        <f>F65-серпень!F65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E66-серпень!E66</f>
        <v>0</v>
      </c>
      <c r="N66" s="40">
        <f>F66-серпень!F66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E67-серпень!E67</f>
        <v>0</v>
      </c>
      <c r="N67" s="40">
        <f>F67-серпень!F67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1.54</v>
      </c>
      <c r="G68" s="49">
        <f t="shared" si="14"/>
        <v>1.44</v>
      </c>
      <c r="H68" s="40"/>
      <c r="I68" s="56">
        <f t="shared" si="18"/>
        <v>1.44</v>
      </c>
      <c r="J68" s="56">
        <f t="shared" si="16"/>
        <v>1540</v>
      </c>
      <c r="K68" s="56">
        <f>F68-1</f>
        <v>0.54</v>
      </c>
      <c r="L68" s="135"/>
      <c r="M68" s="40">
        <f>E68-серпень!E68</f>
        <v>0</v>
      </c>
      <c r="N68" s="40">
        <f>F68-серпень!F68</f>
        <v>0.25</v>
      </c>
      <c r="O68" s="53">
        <f t="shared" si="3"/>
        <v>0.25</v>
      </c>
      <c r="P68" s="56"/>
      <c r="Q68" s="56">
        <f>N68-0.3</f>
        <v>-0.04999999999999999</v>
      </c>
      <c r="R68" s="135">
        <f>N68/0.3</f>
        <v>0.8333333333333334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12180</v>
      </c>
      <c r="F74" s="22">
        <f>F77+F86+F88+F89+F94+F95+F96+F97+F99+F104+F87+F103</f>
        <v>9759.433</v>
      </c>
      <c r="G74" s="50">
        <f aca="true" t="shared" si="24" ref="G74:G92">F74-E74</f>
        <v>-2420.566999999999</v>
      </c>
      <c r="H74" s="51">
        <f aca="true" t="shared" si="25" ref="H74:H87">F74/E74*100</f>
        <v>80.12670771756979</v>
      </c>
      <c r="I74" s="36">
        <f aca="true" t="shared" si="26" ref="I74:I92">F74-D74</f>
        <v>-8598.866999999998</v>
      </c>
      <c r="J74" s="36">
        <f aca="true" t="shared" si="27" ref="J74:J92">F74/D74*100</f>
        <v>53.16087546232495</v>
      </c>
      <c r="K74" s="36">
        <f>F74-14585.4</f>
        <v>-4825.966999999999</v>
      </c>
      <c r="L74" s="136">
        <f>F74/14585.4</f>
        <v>0.6691234385070002</v>
      </c>
      <c r="M74" s="22">
        <f>M77+M86+M88+M89+M94+M95+M96+M97+M99+M87+M104</f>
        <v>1580.5</v>
      </c>
      <c r="N74" s="22">
        <f>N77+N86+N88+N89+N94+N95+N96+N97+N99+N32+N104+N87+N103</f>
        <v>1149.703</v>
      </c>
      <c r="O74" s="55">
        <f aca="true" t="shared" si="28" ref="O74:O92">N74-M74</f>
        <v>-430.797</v>
      </c>
      <c r="P74" s="36">
        <f>N74/M74*100</f>
        <v>72.74299272382157</v>
      </c>
      <c r="Q74" s="36">
        <f>N74-1622.9</f>
        <v>-473.1970000000001</v>
      </c>
      <c r="R74" s="136">
        <f>N74/1622.9</f>
        <v>0.7084250415922114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E77-серпень!E77</f>
        <v>0</v>
      </c>
      <c r="N77" s="40">
        <f>F77-серпень!F77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E78-серпень!E78</f>
        <v>0</v>
      </c>
      <c r="N78" s="40">
        <f>F78-серпень!F78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E79-серпень!E79</f>
        <v>0</v>
      </c>
      <c r="N79" s="40">
        <f>F79-серпень!F79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E80-серпень!E80</f>
        <v>0</v>
      </c>
      <c r="N80" s="40">
        <f>F80-серпень!F80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E81-серпень!E81</f>
        <v>0</v>
      </c>
      <c r="N81" s="40">
        <f>F81-серпень!F81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E82-серпень!E82</f>
        <v>0</v>
      </c>
      <c r="N82" s="40">
        <f>F82-серпень!F82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E83-серпень!E83</f>
        <v>0</v>
      </c>
      <c r="N83" s="40">
        <f>F83-серпень!F83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E84-серпень!E84</f>
        <v>0</v>
      </c>
      <c r="N84" s="40">
        <f>F84-серпень!F84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E85-серпень!E85</f>
        <v>0</v>
      </c>
      <c r="N85" s="40">
        <f>F85-серпень!F85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2600</v>
      </c>
      <c r="F86" s="169">
        <v>0</v>
      </c>
      <c r="G86" s="49">
        <f t="shared" si="24"/>
        <v>-2600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F86-2641.6</f>
        <v>-2641.6</v>
      </c>
      <c r="L86" s="168">
        <f>F86/2641.6</f>
        <v>0</v>
      </c>
      <c r="M86" s="40">
        <f>E86-серпень!E86</f>
        <v>480</v>
      </c>
      <c r="N86" s="40">
        <f>F86-серпень!F86</f>
        <v>0</v>
      </c>
      <c r="O86" s="53">
        <f t="shared" si="28"/>
        <v>-480</v>
      </c>
      <c r="P86" s="56">
        <f t="shared" si="29"/>
        <v>0</v>
      </c>
      <c r="Q86" s="56">
        <f>N86-489.7</f>
        <v>-489.7</v>
      </c>
      <c r="R86" s="135">
        <f>N86/489.7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272.25</v>
      </c>
      <c r="G87" s="49">
        <f t="shared" si="24"/>
        <v>52.25</v>
      </c>
      <c r="H87" s="40">
        <f t="shared" si="25"/>
        <v>123.75</v>
      </c>
      <c r="I87" s="56">
        <f t="shared" si="26"/>
        <v>-227.75</v>
      </c>
      <c r="J87" s="56">
        <f t="shared" si="27"/>
        <v>54.449999999999996</v>
      </c>
      <c r="K87" s="56">
        <f>F87-210.3</f>
        <v>61.94999999999999</v>
      </c>
      <c r="L87" s="135">
        <f>F87/210.3</f>
        <v>1.2945791726105562</v>
      </c>
      <c r="M87" s="40">
        <f>E87-серпень!E87</f>
        <v>0</v>
      </c>
      <c r="N87" s="40">
        <f>F87-серпень!F87</f>
        <v>16.47999999999999</v>
      </c>
      <c r="O87" s="53">
        <f t="shared" si="28"/>
        <v>16.47999999999999</v>
      </c>
      <c r="P87" s="56" t="e">
        <f t="shared" si="29"/>
        <v>#DIV/0!</v>
      </c>
      <c r="Q87" s="56">
        <f>N87-12.4</f>
        <v>4.079999999999989</v>
      </c>
      <c r="R87" s="135">
        <f>N87/12.4</f>
        <v>1.3290322580645153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3.5</v>
      </c>
      <c r="F88" s="169">
        <v>5.6</v>
      </c>
      <c r="G88" s="49">
        <f t="shared" si="24"/>
        <v>2.0999999999999996</v>
      </c>
      <c r="H88" s="40">
        <f>F88/E88*100</f>
        <v>160</v>
      </c>
      <c r="I88" s="56">
        <f t="shared" si="26"/>
        <v>0.5</v>
      </c>
      <c r="J88" s="56">
        <f t="shared" si="27"/>
        <v>109.80392156862746</v>
      </c>
      <c r="K88" s="56">
        <f>F88-3</f>
        <v>2.5999999999999996</v>
      </c>
      <c r="L88" s="135"/>
      <c r="M88" s="40">
        <f>E88-серпень!E88</f>
        <v>0.5</v>
      </c>
      <c r="N88" s="40">
        <f>F88-серпень!F88</f>
        <v>0</v>
      </c>
      <c r="O88" s="53">
        <f t="shared" si="28"/>
        <v>-0.5</v>
      </c>
      <c r="P88" s="56">
        <f>N88/M88*100</f>
        <v>0</v>
      </c>
      <c r="Q88" s="56">
        <f>N88-2.5</f>
        <v>-2.5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129</v>
      </c>
      <c r="F89" s="169">
        <v>97.95</v>
      </c>
      <c r="G89" s="49">
        <f t="shared" si="24"/>
        <v>-31.049999999999997</v>
      </c>
      <c r="H89" s="40">
        <f>F89/E89*100</f>
        <v>75.93023255813954</v>
      </c>
      <c r="I89" s="56">
        <f t="shared" si="26"/>
        <v>-77.05</v>
      </c>
      <c r="J89" s="56">
        <f t="shared" si="27"/>
        <v>55.971428571428575</v>
      </c>
      <c r="K89" s="56">
        <f>F89-123.2</f>
        <v>-25.25</v>
      </c>
      <c r="L89" s="135">
        <f>F89/123.2</f>
        <v>0.7950487012987013</v>
      </c>
      <c r="M89" s="40">
        <f>E89-серпень!E89</f>
        <v>15</v>
      </c>
      <c r="N89" s="40">
        <f>F89-серпень!F89</f>
        <v>15.590000000000003</v>
      </c>
      <c r="O89" s="53">
        <f t="shared" si="28"/>
        <v>0.5900000000000034</v>
      </c>
      <c r="P89" s="56">
        <f>N89/M89*100</f>
        <v>103.93333333333337</v>
      </c>
      <c r="Q89" s="56">
        <f>N89-14.8</f>
        <v>0.7900000000000027</v>
      </c>
      <c r="R89" s="135">
        <f>N89/14.8</f>
        <v>1.0533783783783786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E90-серпень!E90</f>
        <v>0</v>
      </c>
      <c r="N90" s="40">
        <f>F90-серпень!F90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E91-серпень!E91</f>
        <v>0</v>
      </c>
      <c r="N91" s="40">
        <f>F91-серпень!F91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E92-серпень!E92</f>
        <v>0</v>
      </c>
      <c r="N92" s="40">
        <f>F92-серпень!F92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E93-серпень!E93</f>
        <v>0</v>
      </c>
      <c r="N93" s="40">
        <f>F93-серпень!F93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E94-серпень!E94</f>
        <v>0</v>
      </c>
      <c r="N94" s="40">
        <f>F94-серпень!F94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5256.5</v>
      </c>
      <c r="F95" s="169">
        <v>5365.42</v>
      </c>
      <c r="G95" s="49">
        <f t="shared" si="31"/>
        <v>108.92000000000007</v>
      </c>
      <c r="H95" s="40">
        <f>F95/E95*100</f>
        <v>102.07210120802816</v>
      </c>
      <c r="I95" s="56">
        <f t="shared" si="32"/>
        <v>-1634.58</v>
      </c>
      <c r="J95" s="56">
        <f>F95/D95*100</f>
        <v>76.64885714285714</v>
      </c>
      <c r="K95" s="56">
        <f>F95-5517.5</f>
        <v>-152.07999999999993</v>
      </c>
      <c r="L95" s="135">
        <f>F95/5517.5</f>
        <v>0.9724367920253738</v>
      </c>
      <c r="M95" s="40">
        <f>E95-серпень!E95</f>
        <v>575</v>
      </c>
      <c r="N95" s="40">
        <f>F95-серпень!F95</f>
        <v>629.7399999999998</v>
      </c>
      <c r="O95" s="53">
        <f t="shared" si="33"/>
        <v>54.73999999999978</v>
      </c>
      <c r="P95" s="56">
        <f>N95/M95*100</f>
        <v>109.51999999999997</v>
      </c>
      <c r="Q95" s="56">
        <f>N95-569.2</f>
        <v>60.539999999999736</v>
      </c>
      <c r="R95" s="135">
        <f>N95/569.2</f>
        <v>1.1063598032326067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794.5</v>
      </c>
      <c r="F96" s="169">
        <v>782.38</v>
      </c>
      <c r="G96" s="49">
        <f t="shared" si="31"/>
        <v>-12.120000000000005</v>
      </c>
      <c r="H96" s="40">
        <f>F96/E96*100</f>
        <v>98.4745122718691</v>
      </c>
      <c r="I96" s="56">
        <f t="shared" si="32"/>
        <v>-417.62</v>
      </c>
      <c r="J96" s="56">
        <f>F96/D96*100</f>
        <v>65.19833333333334</v>
      </c>
      <c r="K96" s="56">
        <f>F96-795.5</f>
        <v>-13.120000000000005</v>
      </c>
      <c r="L96" s="135">
        <f>F96/795.5</f>
        <v>0.983507228158391</v>
      </c>
      <c r="M96" s="40">
        <f>E96-серпень!E96</f>
        <v>100</v>
      </c>
      <c r="N96" s="40">
        <f>F96-серпень!F96</f>
        <v>96.72000000000003</v>
      </c>
      <c r="O96" s="53">
        <f t="shared" si="33"/>
        <v>-3.2799999999999727</v>
      </c>
      <c r="P96" s="56">
        <f>N96/M96*100</f>
        <v>96.72000000000003</v>
      </c>
      <c r="Q96" s="56">
        <f>N96-102.1</f>
        <v>-5.379999999999967</v>
      </c>
      <c r="R96" s="135">
        <f>N96/102.1</f>
        <v>0.9473065621939278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E97-серпень!E97</f>
        <v>0</v>
      </c>
      <c r="N97" s="40">
        <f>F97-серпень!F97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E98-серпень!E98</f>
        <v>0</v>
      </c>
      <c r="N98" s="40">
        <f>F98-серпень!F98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3007</v>
      </c>
      <c r="F99" s="169">
        <v>3093.833</v>
      </c>
      <c r="G99" s="49">
        <f t="shared" si="31"/>
        <v>86.83300000000008</v>
      </c>
      <c r="H99" s="40">
        <f>F99/E99*100</f>
        <v>102.88769537745262</v>
      </c>
      <c r="I99" s="56">
        <f t="shared" si="32"/>
        <v>-1478.8669999999997</v>
      </c>
      <c r="J99" s="56">
        <f>F99/D99*100</f>
        <v>67.65877927701358</v>
      </c>
      <c r="K99" s="56">
        <f>F99-3411.3</f>
        <v>-317.4670000000001</v>
      </c>
      <c r="L99" s="135">
        <f>F99/3411.3</f>
        <v>0.9069366517163544</v>
      </c>
      <c r="M99" s="40">
        <f>E99-серпень!E99</f>
        <v>410</v>
      </c>
      <c r="N99" s="40">
        <f>F99-серпень!F99</f>
        <v>391.17300000000023</v>
      </c>
      <c r="O99" s="53">
        <f t="shared" si="33"/>
        <v>-18.82699999999977</v>
      </c>
      <c r="P99" s="56">
        <f>N99/M99*100</f>
        <v>95.40804878048786</v>
      </c>
      <c r="Q99" s="56">
        <f>N99-432.2</f>
        <v>-41.02699999999976</v>
      </c>
      <c r="R99" s="135">
        <f>N99/432.2</f>
        <v>0.9050740397963911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E100-серпень!E100</f>
        <v>0</v>
      </c>
      <c r="N100" s="40">
        <f>F100-серпень!F100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E101-серпень!E101</f>
        <v>0</v>
      </c>
      <c r="N101" s="40">
        <f>F101-серпень!F101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757.2</v>
      </c>
      <c r="G102" s="144"/>
      <c r="H102" s="146"/>
      <c r="I102" s="145"/>
      <c r="J102" s="145"/>
      <c r="K102" s="148">
        <f>F102-545.2</f>
        <v>212</v>
      </c>
      <c r="L102" s="149">
        <f>F102/545.2</f>
        <v>1.388848129126926</v>
      </c>
      <c r="M102" s="40">
        <f>E102-серпень!E102</f>
        <v>0</v>
      </c>
      <c r="N102" s="40">
        <f>F102-серпень!F102</f>
        <v>121.40000000000009</v>
      </c>
      <c r="O102" s="53"/>
      <c r="P102" s="60"/>
      <c r="Q102" s="60">
        <f>N102-124.1</f>
        <v>-2.6999999999999034</v>
      </c>
      <c r="R102" s="138">
        <f>N102/124.1</f>
        <v>0.9782433521353755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E103-серпень!E103</f>
        <v>0</v>
      </c>
      <c r="N103" s="40">
        <f>F103-серпень!F103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-45.6</v>
      </c>
      <c r="K104" s="56">
        <f>F104-59.1</f>
        <v>-45.82</v>
      </c>
      <c r="L104" s="135">
        <f>F104/59.1</f>
        <v>0.22470389170896785</v>
      </c>
      <c r="M104" s="40">
        <f>E104-серпень!E104</f>
        <v>0</v>
      </c>
      <c r="N104" s="40">
        <f>F104-серпень!F104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24.2</v>
      </c>
      <c r="F105" s="169">
        <v>19.9</v>
      </c>
      <c r="G105" s="49">
        <f>F105-E105</f>
        <v>-4.300000000000001</v>
      </c>
      <c r="H105" s="40">
        <f>F105/E105*100</f>
        <v>82.23140495867767</v>
      </c>
      <c r="I105" s="56">
        <f t="shared" si="34"/>
        <v>-25.1</v>
      </c>
      <c r="J105" s="56">
        <f aca="true" t="shared" si="36" ref="J105:J110">F105/D105*100</f>
        <v>44.22222222222222</v>
      </c>
      <c r="K105" s="56">
        <f>F105-13.4</f>
        <v>6.499999999999998</v>
      </c>
      <c r="L105" s="135">
        <f>F105/13.4</f>
        <v>1.4850746268656716</v>
      </c>
      <c r="M105" s="40">
        <f>E105-серпень!E105</f>
        <v>3</v>
      </c>
      <c r="N105" s="40">
        <f>F105-серпень!F105</f>
        <v>2.669999999999998</v>
      </c>
      <c r="O105" s="53">
        <f t="shared" si="35"/>
        <v>-0.33000000000000185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E106-серпень!E106</f>
        <v>0</v>
      </c>
      <c r="N106" s="40">
        <f>F106-серпень!F106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152">
        <f>E8+E74+E105+E106</f>
        <v>363563.04</v>
      </c>
      <c r="F107" s="152">
        <f>F8+F74+F105+F106</f>
        <v>358069.7530000001</v>
      </c>
      <c r="G107" s="175">
        <f>F107-E107</f>
        <v>-5493.286999999895</v>
      </c>
      <c r="H107" s="51">
        <f>F107/E107*100</f>
        <v>98.489041405309</v>
      </c>
      <c r="I107" s="36">
        <f t="shared" si="34"/>
        <v>-148809.8469999999</v>
      </c>
      <c r="J107" s="36">
        <f t="shared" si="36"/>
        <v>70.64197355742866</v>
      </c>
      <c r="K107" s="36">
        <f>F107-358888.5</f>
        <v>-818.7469999999157</v>
      </c>
      <c r="L107" s="136">
        <f>F107/358888.5</f>
        <v>0.9977186591378662</v>
      </c>
      <c r="M107" s="22">
        <f>M8+M74+M105+M106</f>
        <v>40928.95</v>
      </c>
      <c r="N107" s="22">
        <f>N8+N74+N105+N106</f>
        <v>40506.653</v>
      </c>
      <c r="O107" s="55">
        <f t="shared" si="35"/>
        <v>-422.29699999999866</v>
      </c>
      <c r="P107" s="36">
        <f>N107/M107*100</f>
        <v>98.96821931664506</v>
      </c>
      <c r="Q107" s="36">
        <f>N107-39133.2</f>
        <v>1373.4530000000013</v>
      </c>
      <c r="R107" s="136">
        <f>N107/39133.2</f>
        <v>1.0350968742653297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153">
        <f>E10-E18+E96</f>
        <v>288254</v>
      </c>
      <c r="F108" s="153">
        <f>F10-F18+F96</f>
        <v>283396.06</v>
      </c>
      <c r="G108" s="153">
        <f>G10-G18+G96</f>
        <v>-4857.940000000007</v>
      </c>
      <c r="H108" s="72">
        <f>F108/E108*100</f>
        <v>98.3147016173236</v>
      </c>
      <c r="I108" s="52">
        <f t="shared" si="34"/>
        <v>-104817.14000000001</v>
      </c>
      <c r="J108" s="52">
        <f t="shared" si="36"/>
        <v>73.00010921833673</v>
      </c>
      <c r="K108" s="52">
        <f>F108-273558.9</f>
        <v>9837.159999999974</v>
      </c>
      <c r="L108" s="137">
        <f>F108/273558.9</f>
        <v>1.035959934039799</v>
      </c>
      <c r="M108" s="71">
        <f>M10-M18+M96</f>
        <v>32423.5</v>
      </c>
      <c r="N108" s="71">
        <f>N10-N18+N96</f>
        <v>32431.97</v>
      </c>
      <c r="O108" s="53">
        <f t="shared" si="35"/>
        <v>8.470000000001164</v>
      </c>
      <c r="P108" s="52">
        <f>N108/M108*100</f>
        <v>100.02612302805065</v>
      </c>
      <c r="Q108" s="52">
        <f>N108-30069.2</f>
        <v>2362.7700000000004</v>
      </c>
      <c r="R108" s="137">
        <f>N108/30069.2</f>
        <v>1.0785777473294933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153">
        <f>E107-E108</f>
        <v>75309.03999999998</v>
      </c>
      <c r="F109" s="153">
        <f>F107-F108</f>
        <v>74673.69300000009</v>
      </c>
      <c r="G109" s="176">
        <f>F109-E109</f>
        <v>-635.3469999998924</v>
      </c>
      <c r="H109" s="72">
        <f>F109/E109*100</f>
        <v>99.1563469671106</v>
      </c>
      <c r="I109" s="52">
        <f t="shared" si="34"/>
        <v>-43992.70699999988</v>
      </c>
      <c r="J109" s="52">
        <f t="shared" si="36"/>
        <v>62.927410791934456</v>
      </c>
      <c r="K109" s="52">
        <f>F109-85329.7</f>
        <v>-10656.00699999991</v>
      </c>
      <c r="L109" s="137">
        <f>F109/85329.7</f>
        <v>0.8751196007955037</v>
      </c>
      <c r="M109" s="71">
        <f>M107-M108</f>
        <v>8505.449999999997</v>
      </c>
      <c r="N109" s="71">
        <f>N107-N108</f>
        <v>8074.682999999997</v>
      </c>
      <c r="O109" s="53">
        <f t="shared" si="35"/>
        <v>-430.7669999999998</v>
      </c>
      <c r="P109" s="52">
        <f>N109/M109*100</f>
        <v>94.93540024337337</v>
      </c>
      <c r="Q109" s="52">
        <f>N109-9064</f>
        <v>-989.3170000000027</v>
      </c>
      <c r="R109" s="137">
        <f>N109/9064</f>
        <v>0.8908520520741392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282884.1</v>
      </c>
      <c r="F110" s="71">
        <f>F108</f>
        <v>283396.06</v>
      </c>
      <c r="G110" s="111">
        <f>F110-E110</f>
        <v>511.96000000002095</v>
      </c>
      <c r="H110" s="72">
        <f>F110/E110*100</f>
        <v>100.18097871177632</v>
      </c>
      <c r="I110" s="81">
        <f t="shared" si="34"/>
        <v>-104817.14000000001</v>
      </c>
      <c r="J110" s="52">
        <f t="shared" si="36"/>
        <v>73.00010921833673</v>
      </c>
      <c r="K110" s="52"/>
      <c r="L110" s="137"/>
      <c r="M110" s="72">
        <f>E110-серпень!E110</f>
        <v>32423.49999999997</v>
      </c>
      <c r="N110" s="71">
        <f>N108</f>
        <v>32431.97</v>
      </c>
      <c r="O110" s="63">
        <f t="shared" si="35"/>
        <v>8.470000000030268</v>
      </c>
      <c r="P110" s="52">
        <f>N110/M110*100</f>
        <v>100.02612302805073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273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-0.14</v>
      </c>
      <c r="G114" s="49">
        <f aca="true" t="shared" si="37" ref="G114:G126">F114-E114</f>
        <v>-0.14</v>
      </c>
      <c r="H114" s="40"/>
      <c r="I114" s="60">
        <f aca="true" t="shared" si="38" ref="I114:I125">F114-D114</f>
        <v>-0.14</v>
      </c>
      <c r="J114" s="60"/>
      <c r="K114" s="60">
        <f>F114-21.5</f>
        <v>-21.64</v>
      </c>
      <c r="L114" s="138">
        <f>F114/21.5</f>
        <v>-0.0065116279069767444</v>
      </c>
      <c r="M114" s="40">
        <f>E114-серпень!E114</f>
        <v>0</v>
      </c>
      <c r="N114" s="40">
        <f>F114-серпень!F114</f>
        <v>0.82</v>
      </c>
      <c r="O114" s="53"/>
      <c r="P114" s="60"/>
      <c r="Q114" s="60">
        <f>N114-0.9</f>
        <v>-0.08000000000000007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2679.6</v>
      </c>
      <c r="F115" s="174">
        <v>1122.93</v>
      </c>
      <c r="G115" s="49">
        <f t="shared" si="37"/>
        <v>-1556.6699999999998</v>
      </c>
      <c r="H115" s="40">
        <f aca="true" t="shared" si="39" ref="H115:H126">F115/E115*100</f>
        <v>41.906627854903725</v>
      </c>
      <c r="I115" s="60">
        <f t="shared" si="38"/>
        <v>-2548.5699999999997</v>
      </c>
      <c r="J115" s="60">
        <f aca="true" t="shared" si="40" ref="J115:J121">F115/D115*100</f>
        <v>30.585046983521725</v>
      </c>
      <c r="K115" s="60">
        <f>F115-3077.6</f>
        <v>-1954.6699999999998</v>
      </c>
      <c r="L115" s="138">
        <f>F115/3077.6</f>
        <v>0.36487197816480377</v>
      </c>
      <c r="M115" s="40">
        <f>E115-серпень!E115</f>
        <v>327.5</v>
      </c>
      <c r="N115" s="40">
        <f>F115-серпень!F115</f>
        <v>137.41000000000008</v>
      </c>
      <c r="O115" s="53">
        <f aca="true" t="shared" si="41" ref="O115:O126">N115-M115</f>
        <v>-190.08999999999992</v>
      </c>
      <c r="P115" s="60">
        <f>N115/M115*100</f>
        <v>41.95725190839697</v>
      </c>
      <c r="Q115" s="60">
        <f>N115-150.5</f>
        <v>-13.089999999999918</v>
      </c>
      <c r="R115" s="138">
        <f>N115/150.5</f>
        <v>0.913023255813954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200.5</v>
      </c>
      <c r="F116" s="172">
        <v>237.16</v>
      </c>
      <c r="G116" s="49">
        <f t="shared" si="37"/>
        <v>36.66</v>
      </c>
      <c r="H116" s="40">
        <f t="shared" si="39"/>
        <v>118.28428927680798</v>
      </c>
      <c r="I116" s="60">
        <f t="shared" si="38"/>
        <v>-30.940000000000026</v>
      </c>
      <c r="J116" s="60">
        <f t="shared" si="40"/>
        <v>88.45953002610966</v>
      </c>
      <c r="K116" s="60">
        <f>F116-200.1</f>
        <v>37.06</v>
      </c>
      <c r="L116" s="138">
        <f>F116/200.1</f>
        <v>1.185207396301849</v>
      </c>
      <c r="M116" s="40">
        <f>E116-серпень!E116</f>
        <v>22</v>
      </c>
      <c r="N116" s="40">
        <f>F116-серпень!F116</f>
        <v>29.840000000000003</v>
      </c>
      <c r="O116" s="53">
        <f t="shared" si="41"/>
        <v>7.840000000000003</v>
      </c>
      <c r="P116" s="60">
        <f>N116/M116*100</f>
        <v>135.63636363636365</v>
      </c>
      <c r="Q116" s="60">
        <f>N116-24.4</f>
        <v>5.440000000000005</v>
      </c>
      <c r="R116" s="138">
        <f>N116/24.4</f>
        <v>1.2229508196721313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2880.1</v>
      </c>
      <c r="F117" s="173">
        <f>SUM(F114:F116)</f>
        <v>1359.95</v>
      </c>
      <c r="G117" s="62">
        <f t="shared" si="37"/>
        <v>-1520.1499999999999</v>
      </c>
      <c r="H117" s="72">
        <f t="shared" si="39"/>
        <v>47.21884656782751</v>
      </c>
      <c r="I117" s="61">
        <f t="shared" si="38"/>
        <v>-2579.6499999999996</v>
      </c>
      <c r="J117" s="61">
        <f t="shared" si="40"/>
        <v>34.52000203066301</v>
      </c>
      <c r="K117" s="61">
        <f>F117-3299.2</f>
        <v>-1939.2499999999998</v>
      </c>
      <c r="L117" s="139">
        <f>F117/3299.2</f>
        <v>0.41220598933074687</v>
      </c>
      <c r="M117" s="62">
        <f>M115+M116+M114</f>
        <v>349.5</v>
      </c>
      <c r="N117" s="38">
        <f>SUM(N114:N116)</f>
        <v>168.07000000000008</v>
      </c>
      <c r="O117" s="61">
        <f t="shared" si="41"/>
        <v>-181.42999999999992</v>
      </c>
      <c r="P117" s="61">
        <f>N117/M117*100</f>
        <v>48.08869814020031</v>
      </c>
      <c r="Q117" s="61">
        <f>N117-175.8</f>
        <v>-7.729999999999933</v>
      </c>
      <c r="R117" s="139">
        <f>N117/175.8</f>
        <v>0.9560295790671222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187.5</v>
      </c>
      <c r="F119" s="174">
        <v>314.15</v>
      </c>
      <c r="G119" s="49">
        <f t="shared" si="37"/>
        <v>126.64999999999998</v>
      </c>
      <c r="H119" s="40">
        <f t="shared" si="39"/>
        <v>167.54666666666665</v>
      </c>
      <c r="I119" s="60">
        <f t="shared" si="38"/>
        <v>46.94999999999999</v>
      </c>
      <c r="J119" s="60">
        <f t="shared" si="40"/>
        <v>117.57110778443113</v>
      </c>
      <c r="K119" s="60">
        <f>F119-174.4</f>
        <v>139.74999999999997</v>
      </c>
      <c r="L119" s="138">
        <f>F119/174.4</f>
        <v>1.8013188073394493</v>
      </c>
      <c r="M119" s="40">
        <f>E119-серпень!E119</f>
        <v>5</v>
      </c>
      <c r="N119" s="40">
        <f>F119-серпень!F119</f>
        <v>25.349999999999966</v>
      </c>
      <c r="O119" s="53">
        <f>N119-M119</f>
        <v>20.349999999999966</v>
      </c>
      <c r="P119" s="60">
        <f>N119/M119*100</f>
        <v>506.9999999999993</v>
      </c>
      <c r="Q119" s="60">
        <f>N119-1.4</f>
        <v>23.949999999999967</v>
      </c>
      <c r="R119" s="138">
        <f>N119/1.4</f>
        <v>18.107142857142833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52512.6</v>
      </c>
      <c r="F120" s="174">
        <v>59536.46</v>
      </c>
      <c r="G120" s="49">
        <f t="shared" si="37"/>
        <v>7023.860000000001</v>
      </c>
      <c r="H120" s="40">
        <f t="shared" si="39"/>
        <v>113.37557081538525</v>
      </c>
      <c r="I120" s="53">
        <f t="shared" si="38"/>
        <v>-12439.530000000006</v>
      </c>
      <c r="J120" s="60">
        <f t="shared" si="40"/>
        <v>82.7171116368111</v>
      </c>
      <c r="K120" s="60">
        <f>F120-50659.1</f>
        <v>8877.36</v>
      </c>
      <c r="L120" s="138">
        <f>F120/50659.1</f>
        <v>1.1752372229273713</v>
      </c>
      <c r="M120" s="40">
        <f>E120-серпень!E120</f>
        <v>3100</v>
      </c>
      <c r="N120" s="40">
        <f>F120-серпень!F120</f>
        <v>3421.8300000000017</v>
      </c>
      <c r="O120" s="53">
        <f t="shared" si="41"/>
        <v>321.83000000000175</v>
      </c>
      <c r="P120" s="60">
        <f aca="true" t="shared" si="42" ref="P120:P125">N120/M120*100</f>
        <v>110.38161290322586</v>
      </c>
      <c r="Q120" s="60">
        <f>N120-3034.9</f>
        <v>386.93000000000166</v>
      </c>
      <c r="R120" s="138">
        <f>N120/3034.9</f>
        <v>1.127493492372072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1754.73</v>
      </c>
      <c r="G121" s="49">
        <f t="shared" si="37"/>
        <v>31.730000000000018</v>
      </c>
      <c r="H121" s="40">
        <f t="shared" si="39"/>
        <v>101.84155542658155</v>
      </c>
      <c r="I121" s="60">
        <f t="shared" si="38"/>
        <v>-2995.27</v>
      </c>
      <c r="J121" s="60">
        <f t="shared" si="40"/>
        <v>36.94168421052632</v>
      </c>
      <c r="K121" s="60">
        <f>F121-1289.6</f>
        <v>465.1300000000001</v>
      </c>
      <c r="L121" s="138">
        <f>F121/1289.6</f>
        <v>1.3606777295285362</v>
      </c>
      <c r="M121" s="40">
        <f>E121-серпень!E121</f>
        <v>0</v>
      </c>
      <c r="N121" s="40">
        <f>F121-серпень!F121</f>
        <v>0.049999999999954525</v>
      </c>
      <c r="O121" s="53">
        <f t="shared" si="41"/>
        <v>0.049999999999954525</v>
      </c>
      <c r="P121" s="60" t="e">
        <f t="shared" si="42"/>
        <v>#DIV/0!</v>
      </c>
      <c r="Q121" s="60">
        <f>N121-167.3</f>
        <v>-167.25000000000006</v>
      </c>
      <c r="R121" s="138">
        <f>N121/167.3</f>
        <v>0.00029886431560044544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f>12928.3-0.87</f>
        <v>12927.429999999998</v>
      </c>
      <c r="F122" s="174">
        <v>2393.24</v>
      </c>
      <c r="G122" s="49">
        <f t="shared" si="37"/>
        <v>-10534.189999999999</v>
      </c>
      <c r="H122" s="40">
        <f t="shared" si="39"/>
        <v>18.51288307111313</v>
      </c>
      <c r="I122" s="60">
        <f t="shared" si="38"/>
        <v>-20683.89</v>
      </c>
      <c r="J122" s="60">
        <f>F122/D122*100</f>
        <v>10.370613676830697</v>
      </c>
      <c r="K122" s="60">
        <f>F122-22303.9</f>
        <v>-19910.660000000003</v>
      </c>
      <c r="L122" s="138">
        <f>F122/22303.9</f>
        <v>0.10730141365411429</v>
      </c>
      <c r="M122" s="40">
        <f>E122-серпень!E122</f>
        <v>3313.4299999999985</v>
      </c>
      <c r="N122" s="40">
        <f>F122-серпень!F122</f>
        <v>101.44999999999982</v>
      </c>
      <c r="O122" s="53">
        <f t="shared" si="41"/>
        <v>-3211.9799999999987</v>
      </c>
      <c r="P122" s="60">
        <f t="shared" si="42"/>
        <v>3.0617818997232433</v>
      </c>
      <c r="Q122" s="60">
        <f>N122-7566.7</f>
        <v>-7465.25</v>
      </c>
      <c r="R122" s="138">
        <f>N122/7566.7</f>
        <v>0.013407429923216174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1431.22</v>
      </c>
      <c r="F123" s="174">
        <v>1074.91</v>
      </c>
      <c r="G123" s="49">
        <f t="shared" si="37"/>
        <v>-356.30999999999995</v>
      </c>
      <c r="H123" s="40">
        <f t="shared" si="39"/>
        <v>75.10445633794944</v>
      </c>
      <c r="I123" s="60">
        <f t="shared" si="38"/>
        <v>-925.0899999999999</v>
      </c>
      <c r="J123" s="60">
        <f>F123/D123*100</f>
        <v>53.7455</v>
      </c>
      <c r="K123" s="60">
        <f>F123-1660.3</f>
        <v>-585.3899999999999</v>
      </c>
      <c r="L123" s="138">
        <f>F123/1660.3</f>
        <v>0.647419141119075</v>
      </c>
      <c r="M123" s="40">
        <f>E123-серпень!E123</f>
        <v>189.58999999999992</v>
      </c>
      <c r="N123" s="40">
        <f>F123-серпень!F123</f>
        <v>210.29000000000008</v>
      </c>
      <c r="O123" s="53">
        <f t="shared" si="41"/>
        <v>20.70000000000016</v>
      </c>
      <c r="P123" s="60">
        <f t="shared" si="42"/>
        <v>110.9182973785538</v>
      </c>
      <c r="Q123" s="60">
        <f>N123-20.2</f>
        <v>190.0900000000001</v>
      </c>
      <c r="R123" s="138">
        <f>N123/20.2</f>
        <v>10.410396039603965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68781.75</v>
      </c>
      <c r="F124" s="173">
        <f>F120+F121+F122+F123+F119</f>
        <v>65073.490000000005</v>
      </c>
      <c r="G124" s="62">
        <f t="shared" si="37"/>
        <v>-3708.2599999999948</v>
      </c>
      <c r="H124" s="72">
        <f t="shared" si="39"/>
        <v>94.60865709290618</v>
      </c>
      <c r="I124" s="61">
        <f t="shared" si="38"/>
        <v>-36996.83</v>
      </c>
      <c r="J124" s="61">
        <f>F124/D124*100</f>
        <v>63.75358674294349</v>
      </c>
      <c r="K124" s="61">
        <f>F124-76087.4</f>
        <v>-11013.909999999989</v>
      </c>
      <c r="L124" s="139">
        <f>F124/76087.4</f>
        <v>0.8552465979912576</v>
      </c>
      <c r="M124" s="62">
        <f>M120+M121+M122+M123+M119</f>
        <v>6608.019999999999</v>
      </c>
      <c r="N124" s="62">
        <f>N120+N121+N122+N123+N119</f>
        <v>3758.9700000000016</v>
      </c>
      <c r="O124" s="61">
        <f t="shared" si="41"/>
        <v>-2849.049999999997</v>
      </c>
      <c r="P124" s="61">
        <f t="shared" si="42"/>
        <v>56.8849670551845</v>
      </c>
      <c r="Q124" s="61">
        <f>N124-10790.5</f>
        <v>-7031.529999999999</v>
      </c>
      <c r="R124" s="139">
        <f>N124/10790.5</f>
        <v>0.3483592048561236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27.16</v>
      </c>
      <c r="F125" s="174">
        <v>24.17</v>
      </c>
      <c r="G125" s="49">
        <f t="shared" si="37"/>
        <v>-2.9899999999999984</v>
      </c>
      <c r="H125" s="40">
        <f t="shared" si="39"/>
        <v>88.99116347569957</v>
      </c>
      <c r="I125" s="60">
        <f t="shared" si="38"/>
        <v>-19.33</v>
      </c>
      <c r="J125" s="60">
        <f>F125/D125*100</f>
        <v>55.5632183908046</v>
      </c>
      <c r="K125" s="60">
        <f>F125-111.8</f>
        <v>-87.63</v>
      </c>
      <c r="L125" s="138">
        <f>F125/111.8</f>
        <v>0.21618962432915922</v>
      </c>
      <c r="M125" s="40">
        <f>E125-серпень!E125</f>
        <v>4</v>
      </c>
      <c r="N125" s="40">
        <f>F125-серпень!F125</f>
        <v>10.000000000000002</v>
      </c>
      <c r="O125" s="53">
        <f t="shared" si="41"/>
        <v>6.000000000000002</v>
      </c>
      <c r="P125" s="60">
        <f t="shared" si="42"/>
        <v>250.00000000000006</v>
      </c>
      <c r="Q125" s="60">
        <f>N125-0</f>
        <v>10.000000000000002</v>
      </c>
      <c r="R125" s="138" t="e">
        <f>N125/0</f>
        <v>#DIV/0!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E126-серпень!E126</f>
        <v>0</v>
      </c>
      <c r="N126" s="40">
        <f>F126-серпень!F126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E127-серпень!E127</f>
        <v>0</v>
      </c>
      <c r="N127" s="40">
        <f>F127-серпень!F127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6718.5</v>
      </c>
      <c r="F128" s="174">
        <v>7368.88</v>
      </c>
      <c r="G128" s="49">
        <f aca="true" t="shared" si="43" ref="G128:G135">F128-E128</f>
        <v>650.3800000000001</v>
      </c>
      <c r="H128" s="40">
        <f>F128/E128*100</f>
        <v>109.6804346208231</v>
      </c>
      <c r="I128" s="60">
        <f aca="true" t="shared" si="44" ref="I128:I135">F128-D128</f>
        <v>-1331.12</v>
      </c>
      <c r="J128" s="60">
        <f>F128/D128*100</f>
        <v>84.69977011494252</v>
      </c>
      <c r="K128" s="60">
        <f>F128-8715.2</f>
        <v>-1346.3200000000006</v>
      </c>
      <c r="L128" s="138">
        <f>F128/8715.2</f>
        <v>0.8455204699834771</v>
      </c>
      <c r="M128" s="40">
        <f>E128-серпень!E128</f>
        <v>1</v>
      </c>
      <c r="N128" s="40">
        <f>F128-серпень!F128</f>
        <v>5.359999999999673</v>
      </c>
      <c r="O128" s="53">
        <f aca="true" t="shared" si="45" ref="O128:O135">N128-M128</f>
        <v>4.359999999999673</v>
      </c>
      <c r="P128" s="60">
        <f>N128/M128*100</f>
        <v>535.9999999999673</v>
      </c>
      <c r="Q128" s="60">
        <f>N128-35</f>
        <v>-29.640000000000327</v>
      </c>
      <c r="R128" s="162">
        <f>N128/35</f>
        <v>0.15314285714284778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1.08</v>
      </c>
      <c r="G129" s="49">
        <f t="shared" si="43"/>
        <v>1.08</v>
      </c>
      <c r="H129" s="40"/>
      <c r="I129" s="60">
        <f t="shared" si="44"/>
        <v>1.08</v>
      </c>
      <c r="J129" s="60"/>
      <c r="K129" s="60">
        <f>F129-1</f>
        <v>0.08000000000000007</v>
      </c>
      <c r="L129" s="138">
        <f>F129/1</f>
        <v>1.08</v>
      </c>
      <c r="M129" s="40">
        <f>E129-серпень!E129</f>
        <v>0</v>
      </c>
      <c r="N129" s="40">
        <f>F129-серпень!F129</f>
        <v>0.2300000000000001</v>
      </c>
      <c r="O129" s="53">
        <f t="shared" si="45"/>
        <v>0.2300000000000001</v>
      </c>
      <c r="P129" s="60"/>
      <c r="Q129" s="60">
        <f>N129-0.7</f>
        <v>-0.46999999999999986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6752.86</v>
      </c>
      <c r="F130" s="173">
        <f>F128+F125+F129+F127</f>
        <v>7413.61</v>
      </c>
      <c r="G130" s="62">
        <f t="shared" si="43"/>
        <v>660.75</v>
      </c>
      <c r="H130" s="72">
        <f>F130/E130*100</f>
        <v>109.78474305701585</v>
      </c>
      <c r="I130" s="61">
        <f t="shared" si="44"/>
        <v>-1337.090000000001</v>
      </c>
      <c r="J130" s="61">
        <f>F130/D130*100</f>
        <v>84.72019381306637</v>
      </c>
      <c r="K130" s="61">
        <f>F130-8836.4</f>
        <v>-1422.79</v>
      </c>
      <c r="L130" s="139">
        <f>G130/8836.4</f>
        <v>0.07477592684803766</v>
      </c>
      <c r="M130" s="62">
        <f>M125+M128+M129+M127</f>
        <v>5</v>
      </c>
      <c r="N130" s="62">
        <f>N125+N128+N129+N127</f>
        <v>15.589999999999675</v>
      </c>
      <c r="O130" s="61">
        <f t="shared" si="45"/>
        <v>10.589999999999675</v>
      </c>
      <c r="P130" s="61">
        <f>N130/M130*100</f>
        <v>311.79999999999353</v>
      </c>
      <c r="Q130" s="61">
        <f>N130-35.8</f>
        <v>-20.21000000000032</v>
      </c>
      <c r="R130" s="137">
        <f>N130/35.8</f>
        <v>0.43547486033518645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23.45</v>
      </c>
      <c r="F131" s="174">
        <v>31.86</v>
      </c>
      <c r="G131" s="49">
        <f>F131-E131</f>
        <v>8.41</v>
      </c>
      <c r="H131" s="40">
        <f>F131/E131*100</f>
        <v>135.863539445629</v>
      </c>
      <c r="I131" s="60">
        <f>F131-D131</f>
        <v>1.8599999999999994</v>
      </c>
      <c r="J131" s="60">
        <f>F131/D131*100</f>
        <v>106.2</v>
      </c>
      <c r="K131" s="60">
        <f>F131-25.4</f>
        <v>6.460000000000001</v>
      </c>
      <c r="L131" s="138">
        <f>F131/25.4</f>
        <v>1.2543307086614173</v>
      </c>
      <c r="M131" s="40">
        <f>E131-серпень!E131</f>
        <v>7</v>
      </c>
      <c r="N131" s="40">
        <f>F131-серпень!F131</f>
        <v>9.239999999999998</v>
      </c>
      <c r="O131" s="53">
        <f>N131-M131</f>
        <v>2.2399999999999984</v>
      </c>
      <c r="P131" s="60">
        <f>N131/M131*100</f>
        <v>131.99999999999997</v>
      </c>
      <c r="Q131" s="60">
        <f>N131-7.6</f>
        <v>1.6399999999999988</v>
      </c>
      <c r="R131" s="138">
        <f>N131/7.6</f>
        <v>1.2157894736842103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E132-серпень!E132</f>
        <v>0</v>
      </c>
      <c r="N132" s="40">
        <f>F132-серпень!F132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E133-серпень!E133</f>
        <v>0</v>
      </c>
      <c r="N133" s="40">
        <f>F133-серпень!F133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78438.16</v>
      </c>
      <c r="F134" s="31">
        <f>F117+F131+F124+F130+F133+F132</f>
        <v>73878.91</v>
      </c>
      <c r="G134" s="50">
        <f t="shared" si="43"/>
        <v>-4559.25</v>
      </c>
      <c r="H134" s="51">
        <f>F134/E134*100</f>
        <v>94.187459267275</v>
      </c>
      <c r="I134" s="36">
        <f t="shared" si="44"/>
        <v>-40911.71000000001</v>
      </c>
      <c r="J134" s="36">
        <f>F134/D134*100</f>
        <v>64.359709878734</v>
      </c>
      <c r="K134" s="36">
        <f>F134-88248.3</f>
        <v>-14369.39</v>
      </c>
      <c r="L134" s="136">
        <f>F134/88248.3</f>
        <v>0.8371709143405596</v>
      </c>
      <c r="M134" s="31">
        <f>M117+M131+M124+M130+M133+M132</f>
        <v>6969.519999999999</v>
      </c>
      <c r="N134" s="31">
        <f>N117+N131+N124+N130+N133+N132</f>
        <v>3951.8700000000013</v>
      </c>
      <c r="O134" s="36">
        <f t="shared" si="45"/>
        <v>-3017.6499999999974</v>
      </c>
      <c r="P134" s="36">
        <f>N134/M134*100</f>
        <v>56.70218322065224</v>
      </c>
      <c r="Q134" s="36">
        <f>N134-11009.7</f>
        <v>-7057.83</v>
      </c>
      <c r="R134" s="136">
        <f>N134/11009.7</f>
        <v>0.358944385405597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442001.19999999995</v>
      </c>
      <c r="F135" s="31">
        <f>F107+F134</f>
        <v>431948.66300000006</v>
      </c>
      <c r="G135" s="50">
        <f t="shared" si="43"/>
        <v>-10052.536999999895</v>
      </c>
      <c r="H135" s="51">
        <f>F135/E135*100</f>
        <v>97.7256765366248</v>
      </c>
      <c r="I135" s="36">
        <f t="shared" si="44"/>
        <v>-189721.5569999999</v>
      </c>
      <c r="J135" s="36">
        <f>F135/D135*100</f>
        <v>69.48196151329238</v>
      </c>
      <c r="K135" s="36">
        <f>F135-447136.8</f>
        <v>-15188.13699999993</v>
      </c>
      <c r="L135" s="136">
        <f>F135/447136.8</f>
        <v>0.9660324603119226</v>
      </c>
      <c r="M135" s="22">
        <f>M107+M134</f>
        <v>47898.469999999994</v>
      </c>
      <c r="N135" s="22">
        <f>N107+N134</f>
        <v>44458.523</v>
      </c>
      <c r="O135" s="36">
        <f t="shared" si="45"/>
        <v>-3439.946999999993</v>
      </c>
      <c r="P135" s="36">
        <f>N135/M135*100</f>
        <v>92.81825285859863</v>
      </c>
      <c r="Q135" s="36">
        <f>N135-50142.9</f>
        <v>-5684.377</v>
      </c>
      <c r="R135" s="136">
        <f>N135/50142.9</f>
        <v>0.8866364530172767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41912</v>
      </c>
      <c r="D139" s="39">
        <v>4136.8</v>
      </c>
      <c r="N139" s="194"/>
      <c r="O139" s="194"/>
    </row>
    <row r="140" spans="3:15" ht="15.75">
      <c r="C140" s="120">
        <v>41911</v>
      </c>
      <c r="D140" s="39">
        <v>4937.4</v>
      </c>
      <c r="F140" s="4" t="s">
        <v>166</v>
      </c>
      <c r="G140" s="190" t="s">
        <v>151</v>
      </c>
      <c r="H140" s="190"/>
      <c r="I140" s="115">
        <f>9020596.53/1000</f>
        <v>9020.596529999999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41908</v>
      </c>
      <c r="D141" s="39">
        <v>1468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f>121201109.21/1000</f>
        <v>121201.10921</v>
      </c>
      <c r="E143" s="80"/>
      <c r="F143" s="100" t="s">
        <v>147</v>
      </c>
      <c r="G143" s="190" t="s">
        <v>149</v>
      </c>
      <c r="H143" s="190"/>
      <c r="I143" s="116">
        <f>112180512.68/1000</f>
        <v>112180.51268000001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f>17426016.57/1000</f>
        <v>17426.01657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31" right="0.18" top="0.31" bottom="0.34" header="0.22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77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2" sqref="G102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266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261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259</v>
      </c>
      <c r="H4" s="206" t="s">
        <v>260</v>
      </c>
      <c r="I4" s="202" t="s">
        <v>188</v>
      </c>
      <c r="J4" s="208" t="s">
        <v>189</v>
      </c>
      <c r="K4" s="195" t="s">
        <v>264</v>
      </c>
      <c r="L4" s="196"/>
      <c r="M4" s="216"/>
      <c r="N4" s="200" t="s">
        <v>267</v>
      </c>
      <c r="O4" s="202" t="s">
        <v>136</v>
      </c>
      <c r="P4" s="202" t="s">
        <v>135</v>
      </c>
      <c r="Q4" s="195" t="s">
        <v>265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258</v>
      </c>
      <c r="F5" s="219"/>
      <c r="G5" s="205"/>
      <c r="H5" s="207"/>
      <c r="I5" s="203"/>
      <c r="J5" s="209"/>
      <c r="K5" s="197"/>
      <c r="L5" s="198"/>
      <c r="M5" s="151" t="s">
        <v>262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312013.39</v>
      </c>
      <c r="F8" s="22">
        <f>F10+F19+F33+F56+F68+F30</f>
        <v>308935.76999999996</v>
      </c>
      <c r="G8" s="22">
        <f aca="true" t="shared" si="0" ref="G8:G30">F8-E8</f>
        <v>-3077.6200000000536</v>
      </c>
      <c r="H8" s="51">
        <f>F8/E8*100</f>
        <v>99.01362566523186</v>
      </c>
      <c r="I8" s="36">
        <f aca="true" t="shared" si="1" ref="I8:I17">F8-D8</f>
        <v>-179540.53000000003</v>
      </c>
      <c r="J8" s="36">
        <f aca="true" t="shared" si="2" ref="J8:J14">F8/D8*100</f>
        <v>63.244781783681205</v>
      </c>
      <c r="K8" s="36">
        <f>F8-306776.9</f>
        <v>2158.869999999937</v>
      </c>
      <c r="L8" s="136">
        <f>F8/306776.9</f>
        <v>1.007037263887861</v>
      </c>
      <c r="M8" s="22">
        <f>M10+M19+M33+M56+M68+M30</f>
        <v>40778.67999999999</v>
      </c>
      <c r="N8" s="22">
        <f>N10+N19+N33+N56+N68+N30</f>
        <v>39810.48999999999</v>
      </c>
      <c r="O8" s="36">
        <f aca="true" t="shared" si="3" ref="O8:O71">N8-M8</f>
        <v>-968.1900000000023</v>
      </c>
      <c r="P8" s="36">
        <f>F8/M8*100</f>
        <v>757.5913933457385</v>
      </c>
      <c r="Q8" s="36">
        <f>N8-38892.4</f>
        <v>918.0899999999892</v>
      </c>
      <c r="R8" s="134">
        <f>N8/38892.4</f>
        <v>1.0236058972961295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250278.43</v>
      </c>
      <c r="G9" s="22">
        <f t="shared" si="0"/>
        <v>250278.43</v>
      </c>
      <c r="H9" s="20"/>
      <c r="I9" s="56">
        <f t="shared" si="1"/>
        <v>-136734.77000000002</v>
      </c>
      <c r="J9" s="56">
        <f t="shared" si="2"/>
        <v>64.66922316861543</v>
      </c>
      <c r="K9" s="56"/>
      <c r="L9" s="135"/>
      <c r="M9" s="20">
        <f>M10+M17</f>
        <v>33764.899999999994</v>
      </c>
      <c r="N9" s="20">
        <f>N10+N17</f>
        <v>32392.809999999998</v>
      </c>
      <c r="O9" s="36">
        <f t="shared" si="3"/>
        <v>-1372.0899999999965</v>
      </c>
      <c r="P9" s="56">
        <f>F9/M9*100</f>
        <v>741.2384754582423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255136</v>
      </c>
      <c r="F10" s="169">
        <v>250278.43</v>
      </c>
      <c r="G10" s="49">
        <f t="shared" si="0"/>
        <v>-4857.570000000007</v>
      </c>
      <c r="H10" s="40">
        <f aca="true" t="shared" si="4" ref="H10:H17">F10/E10*100</f>
        <v>98.09608600903047</v>
      </c>
      <c r="I10" s="56">
        <f t="shared" si="1"/>
        <v>-136734.77000000002</v>
      </c>
      <c r="J10" s="56">
        <f t="shared" si="2"/>
        <v>64.66922316861543</v>
      </c>
      <c r="K10" s="141">
        <f>F10-242707.3</f>
        <v>7571.130000000005</v>
      </c>
      <c r="L10" s="142">
        <f>F10/242707.3</f>
        <v>1.031194488175675</v>
      </c>
      <c r="M10" s="40">
        <f>E10-липень!E10</f>
        <v>33764.899999999994</v>
      </c>
      <c r="N10" s="40">
        <f>F10-липень!F10</f>
        <v>32392.809999999998</v>
      </c>
      <c r="O10" s="53">
        <f t="shared" si="3"/>
        <v>-1372.0899999999965</v>
      </c>
      <c r="P10" s="56">
        <f aca="true" t="shared" si="5" ref="P10:P17">N10/M10*100</f>
        <v>95.93634217782373</v>
      </c>
      <c r="Q10" s="141">
        <f>N10-31381.5</f>
        <v>1011.3099999999977</v>
      </c>
      <c r="R10" s="142">
        <f>N10/31381.5</f>
        <v>1.0322263116804486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E11-липень!E11</f>
        <v>0</v>
      </c>
      <c r="N11" s="40">
        <f>F11-липень!F11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E12-липень!E12</f>
        <v>0</v>
      </c>
      <c r="N12" s="40">
        <f>F12-липень!F12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E13-липень!E13</f>
        <v>0</v>
      </c>
      <c r="N13" s="40">
        <f>F13-липень!F13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E14-липень!E14</f>
        <v>0</v>
      </c>
      <c r="N14" s="40">
        <f>F14-липень!F14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E15-липень!E15</f>
        <v>0</v>
      </c>
      <c r="N15" s="40">
        <f>F15-липень!F15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E16-липень!E16</f>
        <v>0</v>
      </c>
      <c r="N16" s="40">
        <f>F16-липень!F16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E17-липень!E17</f>
        <v>0</v>
      </c>
      <c r="N17" s="40">
        <f>F17-липень!F17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E18-липень!E18</f>
        <v>0</v>
      </c>
      <c r="N18" s="40">
        <f>F18-липень!F18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1045.6</v>
      </c>
      <c r="F19" s="169">
        <v>72.71</v>
      </c>
      <c r="G19" s="49">
        <f t="shared" si="0"/>
        <v>-972.8899999999999</v>
      </c>
      <c r="H19" s="40">
        <f aca="true" t="shared" si="6" ref="H19:H29">F19/E19*100</f>
        <v>6.953902065799541</v>
      </c>
      <c r="I19" s="56">
        <f aca="true" t="shared" si="7" ref="I19:I29">F19-D19</f>
        <v>-927.29</v>
      </c>
      <c r="J19" s="56">
        <f aca="true" t="shared" si="8" ref="J19:J29">F19/D19*100</f>
        <v>7.271</v>
      </c>
      <c r="K19" s="167">
        <f>F19-6117.2</f>
        <v>-6044.49</v>
      </c>
      <c r="L19" s="168">
        <f>F19/6117.2</f>
        <v>0.011886157065324005</v>
      </c>
      <c r="M19" s="40">
        <f>E19-липень!E19</f>
        <v>12</v>
      </c>
      <c r="N19" s="40">
        <f>F19-липень!F19</f>
        <v>-276.67</v>
      </c>
      <c r="O19" s="53">
        <f t="shared" si="3"/>
        <v>-288.67</v>
      </c>
      <c r="P19" s="56">
        <f aca="true" t="shared" si="9" ref="P19:P29">N19/M19*100</f>
        <v>-2305.5833333333335</v>
      </c>
      <c r="Q19" s="56">
        <f>N19-74.4</f>
        <v>-351.07000000000005</v>
      </c>
      <c r="R19" s="135">
        <f>N19/74.4</f>
        <v>-3.718682795698925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E20-липень!E20</f>
        <v>0</v>
      </c>
      <c r="N20" s="40">
        <f>F20-липень!F20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E21-липень!E21</f>
        <v>0</v>
      </c>
      <c r="N21" s="40">
        <f>F21-липень!F21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E22-липень!E22</f>
        <v>0</v>
      </c>
      <c r="N22" s="40">
        <f>F22-липень!F22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E23-липень!E23</f>
        <v>0</v>
      </c>
      <c r="N23" s="40">
        <f>F23-липень!F23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E24-липень!E24</f>
        <v>0</v>
      </c>
      <c r="N24" s="40">
        <f>F24-липень!F24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E25-липень!E25</f>
        <v>0</v>
      </c>
      <c r="N25" s="40">
        <f>F25-липень!F25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E26-липень!E26</f>
        <v>0</v>
      </c>
      <c r="N26" s="40">
        <f>F26-липень!F26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E27-липень!E27</f>
        <v>0</v>
      </c>
      <c r="N27" s="40">
        <f>F27-липень!F27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E28-липень!E28</f>
        <v>0</v>
      </c>
      <c r="N28" s="40">
        <f>F28-липень!F28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785.6</v>
      </c>
      <c r="F29" s="170">
        <v>573.12</v>
      </c>
      <c r="G29" s="49">
        <f t="shared" si="0"/>
        <v>-212.48000000000002</v>
      </c>
      <c r="H29" s="40">
        <f t="shared" si="6"/>
        <v>72.9531568228106</v>
      </c>
      <c r="I29" s="56">
        <f t="shared" si="7"/>
        <v>-356.88</v>
      </c>
      <c r="J29" s="56">
        <f t="shared" si="8"/>
        <v>61.62580645161291</v>
      </c>
      <c r="K29" s="148">
        <f>F29-2498.05</f>
        <v>-1924.9300000000003</v>
      </c>
      <c r="L29" s="149">
        <f>F29/2498.05</f>
        <v>0.2294269530233582</v>
      </c>
      <c r="M29" s="40">
        <f>E29-липень!E29</f>
        <v>52</v>
      </c>
      <c r="N29" s="40">
        <f>F29-липень!F29</f>
        <v>-277.52</v>
      </c>
      <c r="O29" s="148">
        <f t="shared" si="3"/>
        <v>-329.52</v>
      </c>
      <c r="P29" s="145">
        <f t="shared" si="9"/>
        <v>-533.6923076923076</v>
      </c>
      <c r="Q29" s="148">
        <f>N29-74.37</f>
        <v>-351.89</v>
      </c>
      <c r="R29" s="149">
        <f>N29/74.37</f>
        <v>-3.7316122092241493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E30-липень!E30</f>
        <v>8.5</v>
      </c>
      <c r="N30" s="40">
        <f>F30-липень!F30</f>
        <v>-0.009999999999999787</v>
      </c>
      <c r="O30" s="53">
        <f t="shared" si="3"/>
        <v>-8.51</v>
      </c>
      <c r="P30" s="56"/>
      <c r="Q30" s="56">
        <f>N30-0</f>
        <v>-0.009999999999999787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E31-липень!E31</f>
        <v>0</v>
      </c>
      <c r="N31" s="40">
        <f>F31-липень!F31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E32-липень!E32</f>
        <v>0</v>
      </c>
      <c r="N32" s="40">
        <f>F32-липень!F32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51300.79</v>
      </c>
      <c r="F33" s="169">
        <v>54292.74</v>
      </c>
      <c r="G33" s="49">
        <f aca="true" t="shared" si="14" ref="G33:G72">F33-E33</f>
        <v>2991.949999999997</v>
      </c>
      <c r="H33" s="40">
        <f aca="true" t="shared" si="15" ref="H33:H67">F33/E33*100</f>
        <v>105.83217139541125</v>
      </c>
      <c r="I33" s="56">
        <f>F33-D33</f>
        <v>-39273.26</v>
      </c>
      <c r="J33" s="56">
        <f aca="true" t="shared" si="16" ref="J33:J72">F33/D33*100</f>
        <v>58.0261419746489</v>
      </c>
      <c r="K33" s="141">
        <f>F33-53788.3</f>
        <v>504.43999999999505</v>
      </c>
      <c r="L33" s="142">
        <f>F33/53788.3</f>
        <v>1.0093782476858348</v>
      </c>
      <c r="M33" s="40">
        <f>E33-липень!E33</f>
        <v>6439.68</v>
      </c>
      <c r="N33" s="40">
        <f>F33-липень!F33</f>
        <v>7190.5799999999945</v>
      </c>
      <c r="O33" s="53">
        <f t="shared" si="3"/>
        <v>750.8999999999942</v>
      </c>
      <c r="P33" s="56">
        <f aca="true" t="shared" si="17" ref="P33:P67">N33/M33*100</f>
        <v>111.66051729278463</v>
      </c>
      <c r="Q33" s="141">
        <f>N33-6951.4</f>
        <v>239.17999999999483</v>
      </c>
      <c r="R33" s="142">
        <f>N33/6951.4</f>
        <v>1.0344074574905766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E34-липень!E34</f>
        <v>0</v>
      </c>
      <c r="N34" s="40">
        <f>F34-липень!F34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E35-липень!E35</f>
        <v>0</v>
      </c>
      <c r="N35" s="40">
        <f>F35-липень!F35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E36-липень!E36</f>
        <v>0</v>
      </c>
      <c r="N36" s="40">
        <f>F36-липень!F36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E37-липень!E37</f>
        <v>0</v>
      </c>
      <c r="N37" s="40">
        <f>F37-липень!F37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E38-липень!E38</f>
        <v>0</v>
      </c>
      <c r="N38" s="40">
        <f>F38-липень!F38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E39-липень!E39</f>
        <v>0</v>
      </c>
      <c r="N39" s="40">
        <f>F39-липень!F39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E40-липень!E40</f>
        <v>0</v>
      </c>
      <c r="N40" s="40">
        <f>F40-липень!F40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E41-липень!E41</f>
        <v>0</v>
      </c>
      <c r="N41" s="40">
        <f>F41-липень!F41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E42-липень!E42</f>
        <v>0</v>
      </c>
      <c r="N42" s="40">
        <f>F42-липень!F42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E43-липень!E43</f>
        <v>0</v>
      </c>
      <c r="N43" s="40">
        <f>F43-липень!F43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E44-липень!E44</f>
        <v>0</v>
      </c>
      <c r="N44" s="40">
        <f>F44-липень!F44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E45-липень!E45</f>
        <v>0</v>
      </c>
      <c r="N45" s="40">
        <f>F45-липень!F45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E46-липень!E46</f>
        <v>0</v>
      </c>
      <c r="N46" s="40">
        <f>F46-липень!F46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E47-липень!E47</f>
        <v>0</v>
      </c>
      <c r="N47" s="40">
        <f>F47-липень!F47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E48-липень!E48</f>
        <v>0</v>
      </c>
      <c r="N48" s="40">
        <f>F48-липень!F48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E49-липень!E49</f>
        <v>0</v>
      </c>
      <c r="N49" s="40">
        <f>F49-липень!F49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E50-липень!E50</f>
        <v>0</v>
      </c>
      <c r="N50" s="40">
        <f>F50-липень!F50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E51-липень!E51</f>
        <v>0</v>
      </c>
      <c r="N51" s="40">
        <f>F51-липень!F51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E52-липень!E52</f>
        <v>0</v>
      </c>
      <c r="N52" s="40">
        <f>F52-липень!F52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E53-липень!E53</f>
        <v>0</v>
      </c>
      <c r="N53" s="40">
        <f>F53-липень!F53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E54-липень!E54</f>
        <v>0</v>
      </c>
      <c r="N54" s="40">
        <f>F54-липень!F54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37790.49</v>
      </c>
      <c r="F55" s="170">
        <v>40140.27</v>
      </c>
      <c r="G55" s="144">
        <f t="shared" si="14"/>
        <v>2349.779999999999</v>
      </c>
      <c r="H55" s="146">
        <f t="shared" si="15"/>
        <v>106.21791355444188</v>
      </c>
      <c r="I55" s="145">
        <f t="shared" si="18"/>
        <v>-30125.730000000003</v>
      </c>
      <c r="J55" s="145">
        <f t="shared" si="16"/>
        <v>57.12616343608573</v>
      </c>
      <c r="K55" s="148">
        <f>F55-38852.08</f>
        <v>1288.189999999995</v>
      </c>
      <c r="L55" s="149">
        <f>F55/38852.08</f>
        <v>1.0331562685961728</v>
      </c>
      <c r="M55" s="40">
        <f>E55-липень!E55</f>
        <v>4679.68</v>
      </c>
      <c r="N55" s="40">
        <f>F55-липень!F55</f>
        <v>5257.369999999995</v>
      </c>
      <c r="O55" s="148">
        <f t="shared" si="3"/>
        <v>577.689999999995</v>
      </c>
      <c r="P55" s="148">
        <f t="shared" si="17"/>
        <v>112.34464749726467</v>
      </c>
      <c r="Q55" s="160">
        <f>N55-5157.94</f>
        <v>99.42999999999574</v>
      </c>
      <c r="R55" s="161">
        <f>N55/5157.94</f>
        <v>1.0192770757317835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4503.9</v>
      </c>
      <c r="F56" s="169">
        <f>1.51+4285.78</f>
        <v>4287.29</v>
      </c>
      <c r="G56" s="49">
        <f t="shared" si="14"/>
        <v>-216.60999999999967</v>
      </c>
      <c r="H56" s="40">
        <f t="shared" si="15"/>
        <v>95.19061258020827</v>
      </c>
      <c r="I56" s="56">
        <f t="shared" si="18"/>
        <v>-2572.71</v>
      </c>
      <c r="J56" s="56">
        <f t="shared" si="16"/>
        <v>62.4969387755102</v>
      </c>
      <c r="K56" s="56">
        <f>F56-4138.3</f>
        <v>148.98999999999978</v>
      </c>
      <c r="L56" s="135">
        <f>F56/4138.3</f>
        <v>1.0360027064253436</v>
      </c>
      <c r="M56" s="40">
        <f>E56-липень!E56</f>
        <v>553.5999999999995</v>
      </c>
      <c r="N56" s="40">
        <f>F56-липень!F56</f>
        <v>503.52</v>
      </c>
      <c r="O56" s="53">
        <f t="shared" si="3"/>
        <v>-50.07999999999947</v>
      </c>
      <c r="P56" s="56">
        <f t="shared" si="17"/>
        <v>90.9537572254336</v>
      </c>
      <c r="Q56" s="56">
        <f>N56-484.9</f>
        <v>18.620000000000005</v>
      </c>
      <c r="R56" s="135">
        <f>N56/484.9</f>
        <v>1.0383996700350588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E57-липень!E57</f>
        <v>0</v>
      </c>
      <c r="N57" s="40">
        <f>F57-липень!F57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E58-липень!E58</f>
        <v>0</v>
      </c>
      <c r="N58" s="40">
        <f>F58-липень!F58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E59-липень!E59</f>
        <v>0</v>
      </c>
      <c r="N59" s="40">
        <f>F59-липень!F59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E60-липень!E60</f>
        <v>0</v>
      </c>
      <c r="N60" s="40">
        <f>F60-липень!F60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E61-липень!E61</f>
        <v>0</v>
      </c>
      <c r="N61" s="40">
        <f>F61-липень!F61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E62-липень!E62</f>
        <v>0</v>
      </c>
      <c r="N62" s="40">
        <f>F62-липень!F62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E63-липень!E63</f>
        <v>0</v>
      </c>
      <c r="N63" s="40">
        <f>F63-липень!F63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E64-липень!E64</f>
        <v>0</v>
      </c>
      <c r="N64" s="40">
        <f>F64-липень!F64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E65-липень!E65</f>
        <v>0</v>
      </c>
      <c r="N65" s="40">
        <f>F65-липень!F65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E66-липень!E66</f>
        <v>0</v>
      </c>
      <c r="N66" s="40">
        <f>F66-липень!F66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E67-липень!E67</f>
        <v>0</v>
      </c>
      <c r="N67" s="40">
        <f>F67-липень!F67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1.29</v>
      </c>
      <c r="G68" s="49">
        <f t="shared" si="14"/>
        <v>1.19</v>
      </c>
      <c r="H68" s="40"/>
      <c r="I68" s="56">
        <f t="shared" si="18"/>
        <v>1.19</v>
      </c>
      <c r="J68" s="56">
        <f t="shared" si="16"/>
        <v>1290</v>
      </c>
      <c r="K68" s="56">
        <f>F68-0.7</f>
        <v>0.5900000000000001</v>
      </c>
      <c r="L68" s="135"/>
      <c r="M68" s="40">
        <f>E68-липень!E68</f>
        <v>0</v>
      </c>
      <c r="N68" s="40">
        <f>F68-липень!F68</f>
        <v>0.26</v>
      </c>
      <c r="O68" s="53">
        <f t="shared" si="3"/>
        <v>0.26</v>
      </c>
      <c r="P68" s="56"/>
      <c r="Q68" s="56">
        <f>N68-0.3</f>
        <v>-0.03999999999999998</v>
      </c>
      <c r="R68" s="135">
        <f>N68/0.3</f>
        <v>0.8666666666666667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10599.5</v>
      </c>
      <c r="F74" s="22">
        <f>F77+F86+F88+F89+F94+F95+F96+F97+F99+F104+F87+F103</f>
        <v>8609.73</v>
      </c>
      <c r="G74" s="50">
        <f aca="true" t="shared" si="24" ref="G74:G92">F74-E74</f>
        <v>-1989.7700000000004</v>
      </c>
      <c r="H74" s="51">
        <f aca="true" t="shared" si="25" ref="H74:H87">F74/E74*100</f>
        <v>81.22769941978395</v>
      </c>
      <c r="I74" s="36">
        <f aca="true" t="shared" si="26" ref="I74:I92">F74-D74</f>
        <v>-9748.57</v>
      </c>
      <c r="J74" s="36">
        <f aca="true" t="shared" si="27" ref="J74:J92">F74/D74*100</f>
        <v>46.89829668324409</v>
      </c>
      <c r="K74" s="36">
        <f>F74-12962.5</f>
        <v>-4352.77</v>
      </c>
      <c r="L74" s="136">
        <f>F74/12962.5</f>
        <v>0.6642028929604629</v>
      </c>
      <c r="M74" s="22">
        <f>M77+M86+M88+M89+M94+M95+M96+M97+M99+M87+M104</f>
        <v>1620.5</v>
      </c>
      <c r="N74" s="22">
        <f>N77+N86+N88+N89+N94+N95+N96+N97+N99+N32+N104+N87+N103</f>
        <v>1165.59</v>
      </c>
      <c r="O74" s="55">
        <f aca="true" t="shared" si="28" ref="O74:O92">N74-M74</f>
        <v>-454.9100000000001</v>
      </c>
      <c r="P74" s="36">
        <f>N74/M74*100</f>
        <v>71.92780006170935</v>
      </c>
      <c r="Q74" s="36">
        <f>N74-1702.6</f>
        <v>-537.01</v>
      </c>
      <c r="R74" s="136">
        <f>N74/1702.6</f>
        <v>0.6845941501233408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E77-липень!E77</f>
        <v>50</v>
      </c>
      <c r="N77" s="40">
        <f>F77-липень!F77</f>
        <v>17.159999999999997</v>
      </c>
      <c r="O77" s="53">
        <f t="shared" si="28"/>
        <v>-32.84</v>
      </c>
      <c r="P77" s="56">
        <f aca="true" t="shared" si="29" ref="P77:P87">N77/M77*100</f>
        <v>34.31999999999999</v>
      </c>
      <c r="Q77" s="56">
        <f>N77-46.4</f>
        <v>-29.240000000000002</v>
      </c>
      <c r="R77" s="135">
        <f>N77/46.4</f>
        <v>0.3698275862068965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E78-липень!E78</f>
        <v>0</v>
      </c>
      <c r="N78" s="40">
        <f>F78-липень!F78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E79-липень!E79</f>
        <v>0</v>
      </c>
      <c r="N79" s="40">
        <f>F79-липень!F79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E80-липень!E80</f>
        <v>0</v>
      </c>
      <c r="N80" s="40">
        <f>F80-липень!F80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E81-липень!E81</f>
        <v>0</v>
      </c>
      <c r="N81" s="40">
        <f>F81-липень!F81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E82-липень!E82</f>
        <v>0</v>
      </c>
      <c r="N82" s="40">
        <f>F82-липень!F82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E83-липень!E83</f>
        <v>0</v>
      </c>
      <c r="N83" s="40">
        <f>F83-липень!F83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E84-липень!E84</f>
        <v>0</v>
      </c>
      <c r="N84" s="40">
        <f>F84-липень!F84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E85-липень!E85</f>
        <v>0</v>
      </c>
      <c r="N85" s="40">
        <f>F85-липень!F85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2120</v>
      </c>
      <c r="F86" s="169">
        <v>0</v>
      </c>
      <c r="G86" s="49">
        <f t="shared" si="24"/>
        <v>-2120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F86-2152</f>
        <v>-2152</v>
      </c>
      <c r="L86" s="168">
        <f>F86/2152</f>
        <v>0</v>
      </c>
      <c r="M86" s="40">
        <f>E86-липень!E86</f>
        <v>480</v>
      </c>
      <c r="N86" s="40">
        <f>F86-липень!F86</f>
        <v>0</v>
      </c>
      <c r="O86" s="53">
        <f t="shared" si="28"/>
        <v>-480</v>
      </c>
      <c r="P86" s="56">
        <f t="shared" si="29"/>
        <v>0</v>
      </c>
      <c r="Q86" s="56">
        <f>N86-491.3</f>
        <v>-491.3</v>
      </c>
      <c r="R86" s="135">
        <f>N86/491.3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255.77</v>
      </c>
      <c r="G87" s="49">
        <f t="shared" si="24"/>
        <v>35.77000000000001</v>
      </c>
      <c r="H87" s="40">
        <f t="shared" si="25"/>
        <v>116.25909090909093</v>
      </c>
      <c r="I87" s="56">
        <f t="shared" si="26"/>
        <v>-244.23</v>
      </c>
      <c r="J87" s="56">
        <f t="shared" si="27"/>
        <v>51.153999999999996</v>
      </c>
      <c r="K87" s="56">
        <f>F87-198</f>
        <v>57.77000000000001</v>
      </c>
      <c r="L87" s="135">
        <f>F87/198</f>
        <v>1.291767676767677</v>
      </c>
      <c r="M87" s="40">
        <f>E87-липень!E87</f>
        <v>0</v>
      </c>
      <c r="N87" s="40">
        <f>F87-липень!F87</f>
        <v>41.19</v>
      </c>
      <c r="O87" s="53">
        <f t="shared" si="28"/>
        <v>41.19</v>
      </c>
      <c r="P87" s="56" t="e">
        <f t="shared" si="29"/>
        <v>#DIV/0!</v>
      </c>
      <c r="Q87" s="56">
        <f>N87-8.3</f>
        <v>32.89</v>
      </c>
      <c r="R87" s="135">
        <f>N87/8.3</f>
        <v>4.962650602409638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</v>
      </c>
      <c r="F88" s="169">
        <v>5.6</v>
      </c>
      <c r="G88" s="49">
        <f t="shared" si="24"/>
        <v>2.5999999999999996</v>
      </c>
      <c r="H88" s="40">
        <f>F88/E88*100</f>
        <v>186.66666666666666</v>
      </c>
      <c r="I88" s="56">
        <f t="shared" si="26"/>
        <v>0.5</v>
      </c>
      <c r="J88" s="56">
        <f t="shared" si="27"/>
        <v>109.80392156862746</v>
      </c>
      <c r="K88" s="56">
        <f>F88-0.5</f>
        <v>5.1</v>
      </c>
      <c r="L88" s="135"/>
      <c r="M88" s="40">
        <f>E88-липень!E88</f>
        <v>0.5</v>
      </c>
      <c r="N88" s="40">
        <f>F88-липень!F88</f>
        <v>0</v>
      </c>
      <c r="O88" s="53">
        <f t="shared" si="28"/>
        <v>-0.5</v>
      </c>
      <c r="P88" s="56">
        <f>N88/M88*100</f>
        <v>0</v>
      </c>
      <c r="Q88" s="56">
        <f>N88-(-1.1)</f>
        <v>1.1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114</v>
      </c>
      <c r="F89" s="169">
        <v>82.36</v>
      </c>
      <c r="G89" s="49">
        <f t="shared" si="24"/>
        <v>-31.64</v>
      </c>
      <c r="H89" s="40">
        <f>F89/E89*100</f>
        <v>72.24561403508773</v>
      </c>
      <c r="I89" s="56">
        <f t="shared" si="26"/>
        <v>-92.64</v>
      </c>
      <c r="J89" s="56">
        <f t="shared" si="27"/>
        <v>47.06285714285715</v>
      </c>
      <c r="K89" s="56">
        <f>F89-108.5</f>
        <v>-26.14</v>
      </c>
      <c r="L89" s="135">
        <f>F89/108.5</f>
        <v>0.7590783410138249</v>
      </c>
      <c r="M89" s="40">
        <f>E89-липень!E89</f>
        <v>15</v>
      </c>
      <c r="N89" s="40">
        <f>F89-липень!F89</f>
        <v>4.1200000000000045</v>
      </c>
      <c r="O89" s="53">
        <f t="shared" si="28"/>
        <v>-10.879999999999995</v>
      </c>
      <c r="P89" s="56">
        <f>N89/M89*100</f>
        <v>27.466666666666693</v>
      </c>
      <c r="Q89" s="56">
        <f>N89-14.5</f>
        <v>-10.379999999999995</v>
      </c>
      <c r="R89" s="135">
        <f>N89/14.5</f>
        <v>0.2841379310344831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E90-липень!E90</f>
        <v>0</v>
      </c>
      <c r="N90" s="40">
        <f>F90-липень!F90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E91-липень!E91</f>
        <v>0</v>
      </c>
      <c r="N91" s="40">
        <f>F91-липень!F91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E92-липень!E92</f>
        <v>0</v>
      </c>
      <c r="N92" s="40">
        <f>F92-липень!F92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E93-липень!E93</f>
        <v>0</v>
      </c>
      <c r="N93" s="40">
        <f>F93-липень!F93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E94-липень!E94</f>
        <v>0</v>
      </c>
      <c r="N94" s="40">
        <f>F94-липень!F94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4681.5</v>
      </c>
      <c r="F95" s="169">
        <v>4735.68</v>
      </c>
      <c r="G95" s="49">
        <f t="shared" si="31"/>
        <v>54.18000000000029</v>
      </c>
      <c r="H95" s="40">
        <f>F95/E95*100</f>
        <v>101.15732137135534</v>
      </c>
      <c r="I95" s="56">
        <f t="shared" si="32"/>
        <v>-2264.3199999999997</v>
      </c>
      <c r="J95" s="56">
        <f>F95/D95*100</f>
        <v>67.65257142857143</v>
      </c>
      <c r="K95" s="56">
        <f>F95-4948.3</f>
        <v>-212.6199999999999</v>
      </c>
      <c r="L95" s="135">
        <f>F95/4948.3</f>
        <v>0.9570317078592648</v>
      </c>
      <c r="M95" s="40">
        <f>E95-липень!E95</f>
        <v>575</v>
      </c>
      <c r="N95" s="40">
        <f>F95-липень!F95</f>
        <v>592.3000000000002</v>
      </c>
      <c r="O95" s="53">
        <f t="shared" si="33"/>
        <v>17.300000000000182</v>
      </c>
      <c r="P95" s="56">
        <f>N95/M95*100</f>
        <v>103.00869565217394</v>
      </c>
      <c r="Q95" s="56">
        <f>N95-696.9</f>
        <v>-104.5999999999998</v>
      </c>
      <c r="R95" s="135">
        <f>N95/696.9</f>
        <v>0.8499067298034154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694.5</v>
      </c>
      <c r="F96" s="169">
        <v>685.66</v>
      </c>
      <c r="G96" s="49">
        <f t="shared" si="31"/>
        <v>-8.840000000000032</v>
      </c>
      <c r="H96" s="40">
        <f>F96/E96*100</f>
        <v>98.72714182865371</v>
      </c>
      <c r="I96" s="56">
        <f t="shared" si="32"/>
        <v>-514.34</v>
      </c>
      <c r="J96" s="56">
        <f>F96/D96*100</f>
        <v>57.138333333333335</v>
      </c>
      <c r="K96" s="56">
        <f>F96-693.4</f>
        <v>-7.740000000000009</v>
      </c>
      <c r="L96" s="135">
        <f>F96/693.4</f>
        <v>0.9888376117680993</v>
      </c>
      <c r="M96" s="40">
        <f>E96-липень!E96</f>
        <v>90</v>
      </c>
      <c r="N96" s="40">
        <f>F96-липень!F96</f>
        <v>154.25</v>
      </c>
      <c r="O96" s="53">
        <f t="shared" si="33"/>
        <v>64.25</v>
      </c>
      <c r="P96" s="56">
        <f>N96/M96*100</f>
        <v>171.38888888888889</v>
      </c>
      <c r="Q96" s="56">
        <f>N96-90.8</f>
        <v>63.45</v>
      </c>
      <c r="R96" s="135">
        <f>N96/90.8</f>
        <v>1.6987885462555066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E97-липень!E97</f>
        <v>0</v>
      </c>
      <c r="N97" s="40">
        <f>F97-липень!F97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E98-липень!E98</f>
        <v>0</v>
      </c>
      <c r="N98" s="40">
        <f>F98-липень!F98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2597</v>
      </c>
      <c r="F99" s="169">
        <v>2702.66</v>
      </c>
      <c r="G99" s="49">
        <f t="shared" si="31"/>
        <v>105.65999999999985</v>
      </c>
      <c r="H99" s="40">
        <f>F99/E99*100</f>
        <v>104.0685406237967</v>
      </c>
      <c r="I99" s="56">
        <f t="shared" si="32"/>
        <v>-1870.04</v>
      </c>
      <c r="J99" s="56">
        <f>F99/D99*100</f>
        <v>59.10424913071052</v>
      </c>
      <c r="K99" s="56">
        <f>F99-2979.1</f>
        <v>-276.44000000000005</v>
      </c>
      <c r="L99" s="135">
        <f>F99/2979.1</f>
        <v>0.9072068745594307</v>
      </c>
      <c r="M99" s="40">
        <f>E99-липень!E99</f>
        <v>410</v>
      </c>
      <c r="N99" s="40">
        <f>F99-липень!F99</f>
        <v>356.5699999999997</v>
      </c>
      <c r="O99" s="53">
        <f t="shared" si="33"/>
        <v>-53.43000000000029</v>
      </c>
      <c r="P99" s="56">
        <f>N99/M99*100</f>
        <v>86.96829268292676</v>
      </c>
      <c r="Q99" s="56">
        <f>N99-355.4</f>
        <v>1.1699999999997317</v>
      </c>
      <c r="R99" s="135">
        <f>N99/355.4</f>
        <v>1.0032920652785586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E100-липень!E100</f>
        <v>0</v>
      </c>
      <c r="N100" s="40">
        <f>F100-липень!F100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E101-липень!E101</f>
        <v>0</v>
      </c>
      <c r="N101" s="40">
        <f>F101-липень!F101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635.8</v>
      </c>
      <c r="G102" s="144"/>
      <c r="H102" s="146"/>
      <c r="I102" s="145"/>
      <c r="J102" s="145"/>
      <c r="K102" s="148">
        <f>F102-421.2</f>
        <v>214.59999999999997</v>
      </c>
      <c r="L102" s="149">
        <f>F102/421.2</f>
        <v>1.5094966761633428</v>
      </c>
      <c r="M102" s="40">
        <f>E102-липень!E102</f>
        <v>0</v>
      </c>
      <c r="N102" s="40">
        <f>F102-липень!F102</f>
        <v>165.89999999999998</v>
      </c>
      <c r="O102" s="53"/>
      <c r="P102" s="60"/>
      <c r="Q102" s="60">
        <f>N102-95.6</f>
        <v>70.29999999999998</v>
      </c>
      <c r="R102" s="138">
        <f>N102/95.6</f>
        <v>1.7353556485355648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E103-липень!E103</f>
        <v>0</v>
      </c>
      <c r="N103" s="40">
        <f>F103-липень!F103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-48.269999999999996</v>
      </c>
      <c r="K104" s="56">
        <f>F104-59.1</f>
        <v>-45.82</v>
      </c>
      <c r="L104" s="135">
        <f>F104/59.1</f>
        <v>0.22470389170896785</v>
      </c>
      <c r="M104" s="40">
        <f>E104-липень!E104</f>
        <v>0</v>
      </c>
      <c r="N104" s="40">
        <f>F104-липень!F104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21.2</v>
      </c>
      <c r="F105" s="169">
        <v>17.23</v>
      </c>
      <c r="G105" s="49">
        <f>F105-E105</f>
        <v>-3.969999999999999</v>
      </c>
      <c r="H105" s="40">
        <f>F105/E105*100</f>
        <v>81.27358490566039</v>
      </c>
      <c r="I105" s="56">
        <f t="shared" si="34"/>
        <v>-27.77</v>
      </c>
      <c r="J105" s="56">
        <f aca="true" t="shared" si="36" ref="J105:J110">F105/D105*100</f>
        <v>38.28888888888889</v>
      </c>
      <c r="K105" s="56">
        <f>F105-13.4</f>
        <v>3.83</v>
      </c>
      <c r="L105" s="135">
        <f>F105/13.4</f>
        <v>1.285820895522388</v>
      </c>
      <c r="M105" s="40">
        <f>E105-липень!E105</f>
        <v>3</v>
      </c>
      <c r="N105" s="40">
        <f>F105-липень!F105</f>
        <v>1.8000000000000007</v>
      </c>
      <c r="O105" s="53">
        <f t="shared" si="35"/>
        <v>-1.1999999999999993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E106-липень!E106</f>
        <v>0</v>
      </c>
      <c r="N106" s="40">
        <f>F106-липень!F106</f>
        <v>0.29</v>
      </c>
      <c r="O106" s="53">
        <f t="shared" si="35"/>
        <v>0.29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322634.09</v>
      </c>
      <c r="F107" s="22">
        <f>F8+F74+F105+F106</f>
        <v>317563.0999999999</v>
      </c>
      <c r="G107" s="50">
        <f>F107-E107</f>
        <v>-5070.990000000107</v>
      </c>
      <c r="H107" s="51">
        <f>F107/E107*100</f>
        <v>98.42825350538746</v>
      </c>
      <c r="I107" s="36">
        <f t="shared" si="34"/>
        <v>-189316.50000000006</v>
      </c>
      <c r="J107" s="36">
        <f t="shared" si="36"/>
        <v>62.65059789346423</v>
      </c>
      <c r="K107" s="36">
        <f>F107-319755.3</f>
        <v>-2192.20000000007</v>
      </c>
      <c r="L107" s="136">
        <f>F107/319755.3</f>
        <v>0.9931441324037473</v>
      </c>
      <c r="M107" s="22">
        <f>M8+M74+M105+M106</f>
        <v>42402.17999999999</v>
      </c>
      <c r="N107" s="22">
        <f>N8+N74+N105+N106</f>
        <v>40978.16999999999</v>
      </c>
      <c r="O107" s="55">
        <f t="shared" si="35"/>
        <v>-1424.010000000002</v>
      </c>
      <c r="P107" s="36">
        <f>N107/M107*100</f>
        <v>96.64165851850069</v>
      </c>
      <c r="Q107" s="36">
        <f>N107-40595</f>
        <v>383.169999999991</v>
      </c>
      <c r="R107" s="136">
        <f>N107/40595</f>
        <v>1.0094388471486635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255830.5</v>
      </c>
      <c r="F108" s="71">
        <f>F10-F18+F96</f>
        <v>250964.09</v>
      </c>
      <c r="G108" s="71">
        <f>G10-G18+G96</f>
        <v>-4866.410000000007</v>
      </c>
      <c r="H108" s="72">
        <f>F108/E108*100</f>
        <v>98.09779912871998</v>
      </c>
      <c r="I108" s="52">
        <f t="shared" si="34"/>
        <v>-137249.11000000002</v>
      </c>
      <c r="J108" s="52">
        <f t="shared" si="36"/>
        <v>64.6459445479958</v>
      </c>
      <c r="K108" s="52">
        <f>F108-243489.6</f>
        <v>7474.489999999991</v>
      </c>
      <c r="L108" s="137">
        <f>F108/243489.6</f>
        <v>1.0306973685939769</v>
      </c>
      <c r="M108" s="71">
        <f>M10-M18+M96</f>
        <v>33854.899999999994</v>
      </c>
      <c r="N108" s="71">
        <f>N10-N18+N96</f>
        <v>32547.059999999998</v>
      </c>
      <c r="O108" s="53">
        <f t="shared" si="35"/>
        <v>-1307.8399999999965</v>
      </c>
      <c r="P108" s="52">
        <f>N108/M108*100</f>
        <v>96.13692552629016</v>
      </c>
      <c r="Q108" s="52">
        <f>N108-31472.4</f>
        <v>1074.6599999999962</v>
      </c>
      <c r="R108" s="137">
        <f>N108/31472.4</f>
        <v>1.0341461089716704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66803.59000000003</v>
      </c>
      <c r="F109" s="71">
        <f>F107-F108</f>
        <v>66599.00999999992</v>
      </c>
      <c r="G109" s="62">
        <f>F109-E109</f>
        <v>-204.5800000001036</v>
      </c>
      <c r="H109" s="72">
        <f>F109/E109*100</f>
        <v>99.69375897313287</v>
      </c>
      <c r="I109" s="52">
        <f t="shared" si="34"/>
        <v>-52067.39000000004</v>
      </c>
      <c r="J109" s="52">
        <f t="shared" si="36"/>
        <v>56.122887354803</v>
      </c>
      <c r="K109" s="52">
        <f>F109-76265.7</f>
        <v>-9666.690000000075</v>
      </c>
      <c r="L109" s="137">
        <f>F109/76265.7</f>
        <v>0.8732498357715188</v>
      </c>
      <c r="M109" s="71">
        <f>M107-M108</f>
        <v>8547.279999999999</v>
      </c>
      <c r="N109" s="71">
        <f>N107-N108</f>
        <v>8431.109999999993</v>
      </c>
      <c r="O109" s="53">
        <f t="shared" si="35"/>
        <v>-116.17000000000553</v>
      </c>
      <c r="P109" s="52">
        <f>N109/M109*100</f>
        <v>98.6408541664716</v>
      </c>
      <c r="Q109" s="52">
        <f>N109-9122.6</f>
        <v>-691.4900000000071</v>
      </c>
      <c r="R109" s="137">
        <f>N109/9122.6</f>
        <v>0.9242003376230453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250460.6</v>
      </c>
      <c r="F110" s="71">
        <f>F108</f>
        <v>250964.09</v>
      </c>
      <c r="G110" s="111">
        <f>F110-E110</f>
        <v>503.4899999999907</v>
      </c>
      <c r="H110" s="72">
        <f>F110/E110*100</f>
        <v>100.20102563037858</v>
      </c>
      <c r="I110" s="81">
        <f t="shared" si="34"/>
        <v>-137249.11000000002</v>
      </c>
      <c r="J110" s="52">
        <f t="shared" si="36"/>
        <v>64.6459445479958</v>
      </c>
      <c r="K110" s="52"/>
      <c r="L110" s="137"/>
      <c r="M110" s="72">
        <f>E110-липень!E110</f>
        <v>33854.899999999994</v>
      </c>
      <c r="N110" s="71">
        <f>N108</f>
        <v>32547.059999999998</v>
      </c>
      <c r="O110" s="63">
        <f t="shared" si="35"/>
        <v>-1307.8399999999965</v>
      </c>
      <c r="P110" s="52">
        <f>N110/M110*100</f>
        <v>96.13692552629016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263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-0.96</v>
      </c>
      <c r="G114" s="49">
        <f aca="true" t="shared" si="37" ref="G114:G126">F114-E114</f>
        <v>-0.96</v>
      </c>
      <c r="H114" s="40"/>
      <c r="I114" s="60">
        <f aca="true" t="shared" si="38" ref="I114:I125">F114-D114</f>
        <v>-0.96</v>
      </c>
      <c r="J114" s="60"/>
      <c r="K114" s="60">
        <f>F114-20.7</f>
        <v>-21.66</v>
      </c>
      <c r="L114" s="138">
        <f>F114/20.7</f>
        <v>-0.0463768115942029</v>
      </c>
      <c r="M114" s="40">
        <f>E114-липень!E114</f>
        <v>0</v>
      </c>
      <c r="N114" s="40">
        <f>F114-липень!F114</f>
        <v>0.17999999999999994</v>
      </c>
      <c r="O114" s="53"/>
      <c r="P114" s="60"/>
      <c r="Q114" s="60">
        <f>N114-7.2</f>
        <v>-7.0200000000000005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2352.1</v>
      </c>
      <c r="F115" s="172">
        <v>985.52</v>
      </c>
      <c r="G115" s="49">
        <f t="shared" si="37"/>
        <v>-1366.58</v>
      </c>
      <c r="H115" s="40">
        <f aca="true" t="shared" si="39" ref="H115:H126">F115/E115*100</f>
        <v>41.89957909952808</v>
      </c>
      <c r="I115" s="60">
        <f t="shared" si="38"/>
        <v>-2685.98</v>
      </c>
      <c r="J115" s="60">
        <f aca="true" t="shared" si="40" ref="J115:J121">F115/D115*100</f>
        <v>26.84243497208226</v>
      </c>
      <c r="K115" s="60">
        <f>F115-2927.1</f>
        <v>-1941.58</v>
      </c>
      <c r="L115" s="138">
        <f>F115/2927.1</f>
        <v>0.33668818967578834</v>
      </c>
      <c r="M115" s="40">
        <f>E115-липень!E115</f>
        <v>327.5</v>
      </c>
      <c r="N115" s="40">
        <f>F115-липень!F115</f>
        <v>172.16999999999996</v>
      </c>
      <c r="O115" s="53">
        <f aca="true" t="shared" si="41" ref="O115:O126">N115-M115</f>
        <v>-155.33000000000004</v>
      </c>
      <c r="P115" s="60">
        <f>N115/M115*100</f>
        <v>52.570992366412206</v>
      </c>
      <c r="Q115" s="60">
        <f>N115-728.3</f>
        <v>-556.13</v>
      </c>
      <c r="R115" s="138">
        <f>N115/728.3</f>
        <v>0.23639983523273372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178.5</v>
      </c>
      <c r="F116" s="172">
        <v>207.32</v>
      </c>
      <c r="G116" s="49">
        <f t="shared" si="37"/>
        <v>28.819999999999993</v>
      </c>
      <c r="H116" s="40">
        <f t="shared" si="39"/>
        <v>116.14565826330532</v>
      </c>
      <c r="I116" s="60">
        <f t="shared" si="38"/>
        <v>-60.78000000000003</v>
      </c>
      <c r="J116" s="60">
        <f t="shared" si="40"/>
        <v>77.32935471838866</v>
      </c>
      <c r="K116" s="60">
        <f>F116-175.7</f>
        <v>31.620000000000005</v>
      </c>
      <c r="L116" s="138">
        <f>F116/175.7</f>
        <v>1.1799658508821855</v>
      </c>
      <c r="M116" s="40">
        <f>E116-липень!E116</f>
        <v>22</v>
      </c>
      <c r="N116" s="40">
        <f>F116-липень!F116</f>
        <v>23.97999999999999</v>
      </c>
      <c r="O116" s="53">
        <f t="shared" si="41"/>
        <v>1.9799999999999898</v>
      </c>
      <c r="P116" s="60">
        <f>N116/M116*100</f>
        <v>108.99999999999996</v>
      </c>
      <c r="Q116" s="60">
        <f>N116-21.9</f>
        <v>2.079999999999991</v>
      </c>
      <c r="R116" s="138">
        <f>N116/21.9</f>
        <v>1.0949771689497714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2530.6</v>
      </c>
      <c r="F117" s="173">
        <f>SUM(F114:F116)</f>
        <v>1191.8799999999999</v>
      </c>
      <c r="G117" s="62">
        <f t="shared" si="37"/>
        <v>-1338.72</v>
      </c>
      <c r="H117" s="72">
        <f t="shared" si="39"/>
        <v>47.09871176796017</v>
      </c>
      <c r="I117" s="61">
        <f t="shared" si="38"/>
        <v>-2747.7200000000003</v>
      </c>
      <c r="J117" s="61">
        <f t="shared" si="40"/>
        <v>30.253832876434156</v>
      </c>
      <c r="K117" s="61">
        <f>F117-3123.4</f>
        <v>-1931.5200000000002</v>
      </c>
      <c r="L117" s="139">
        <f>F117/3123.4</f>
        <v>0.38159697765255807</v>
      </c>
      <c r="M117" s="62">
        <f>M115+M116+M114</f>
        <v>349.5</v>
      </c>
      <c r="N117" s="38">
        <f>SUM(N114:N116)</f>
        <v>196.32999999999996</v>
      </c>
      <c r="O117" s="61">
        <f t="shared" si="41"/>
        <v>-153.17000000000004</v>
      </c>
      <c r="P117" s="61">
        <f>N117/M117*100</f>
        <v>56.17453505007152</v>
      </c>
      <c r="Q117" s="61">
        <f>N117-757.4</f>
        <v>-561.07</v>
      </c>
      <c r="R117" s="139">
        <f>N117/757.4</f>
        <v>0.25921573805122783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174">
        <v>288.8</v>
      </c>
      <c r="G119" s="49">
        <f t="shared" si="37"/>
        <v>106.30000000000001</v>
      </c>
      <c r="H119" s="40">
        <f t="shared" si="39"/>
        <v>158.24657534246575</v>
      </c>
      <c r="I119" s="60">
        <f t="shared" si="38"/>
        <v>21.600000000000023</v>
      </c>
      <c r="J119" s="60">
        <f t="shared" si="40"/>
        <v>108.08383233532935</v>
      </c>
      <c r="K119" s="60">
        <f>F119-173.1</f>
        <v>115.70000000000002</v>
      </c>
      <c r="L119" s="138">
        <f>F119/173.1</f>
        <v>1.6683997689196997</v>
      </c>
      <c r="M119" s="40">
        <f>E119-липень!E119</f>
        <v>0</v>
      </c>
      <c r="N119" s="40">
        <f>F119-липень!F119</f>
        <v>29.730000000000018</v>
      </c>
      <c r="O119" s="53">
        <f>N119-M119</f>
        <v>29.730000000000018</v>
      </c>
      <c r="P119" s="60" t="e">
        <f>N119/M119*100</f>
        <v>#DIV/0!</v>
      </c>
      <c r="Q119" s="60">
        <f>N119-0.4</f>
        <v>29.33000000000002</v>
      </c>
      <c r="R119" s="138">
        <f>N119/0.4</f>
        <v>74.32500000000005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49412.6</v>
      </c>
      <c r="F120" s="174">
        <v>56114.63</v>
      </c>
      <c r="G120" s="49">
        <f t="shared" si="37"/>
        <v>6702.029999999999</v>
      </c>
      <c r="H120" s="40">
        <f t="shared" si="39"/>
        <v>113.56340285676123</v>
      </c>
      <c r="I120" s="53">
        <f t="shared" si="38"/>
        <v>-15861.360000000008</v>
      </c>
      <c r="J120" s="60">
        <f t="shared" si="40"/>
        <v>77.96298460083702</v>
      </c>
      <c r="K120" s="60">
        <f>F120-47624.2</f>
        <v>8490.43</v>
      </c>
      <c r="L120" s="138">
        <f>F120/47624.2</f>
        <v>1.1782797401321177</v>
      </c>
      <c r="M120" s="40">
        <f>E120-липень!E120</f>
        <v>8100</v>
      </c>
      <c r="N120" s="40">
        <f>F120-липень!F120</f>
        <v>9904.899999999994</v>
      </c>
      <c r="O120" s="53">
        <f t="shared" si="41"/>
        <v>1804.8999999999942</v>
      </c>
      <c r="P120" s="60">
        <f aca="true" t="shared" si="42" ref="P120:P125">N120/M120*100</f>
        <v>122.28271604938263</v>
      </c>
      <c r="Q120" s="60">
        <f>N120-7964.9</f>
        <v>1939.9999999999945</v>
      </c>
      <c r="R120" s="138">
        <f>N120/7964.9</f>
        <v>1.2435686574847136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1754.68</v>
      </c>
      <c r="G121" s="49">
        <f t="shared" si="37"/>
        <v>31.680000000000064</v>
      </c>
      <c r="H121" s="40">
        <f t="shared" si="39"/>
        <v>101.83865351131746</v>
      </c>
      <c r="I121" s="60">
        <f t="shared" si="38"/>
        <v>-2995.3199999999997</v>
      </c>
      <c r="J121" s="60">
        <f t="shared" si="40"/>
        <v>36.94063157894737</v>
      </c>
      <c r="K121" s="60">
        <f>F121-1122.3</f>
        <v>632.3800000000001</v>
      </c>
      <c r="L121" s="138">
        <f>F121/1122.3</f>
        <v>1.563467878463869</v>
      </c>
      <c r="M121" s="40">
        <f>E121-липень!E121</f>
        <v>40</v>
      </c>
      <c r="N121" s="40">
        <f>F121-липень!F121</f>
        <v>76.54999999999995</v>
      </c>
      <c r="O121" s="53">
        <f t="shared" si="41"/>
        <v>36.549999999999955</v>
      </c>
      <c r="P121" s="60">
        <f t="shared" si="42"/>
        <v>191.3749999999999</v>
      </c>
      <c r="Q121" s="60">
        <f>N121-1.4</f>
        <v>75.14999999999995</v>
      </c>
      <c r="R121" s="138">
        <f>N121/1.4</f>
        <v>54.6785714285714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9614</v>
      </c>
      <c r="F122" s="174">
        <v>2291.79</v>
      </c>
      <c r="G122" s="49">
        <f t="shared" si="37"/>
        <v>-7322.21</v>
      </c>
      <c r="H122" s="40">
        <f t="shared" si="39"/>
        <v>23.838048679009777</v>
      </c>
      <c r="I122" s="60">
        <f t="shared" si="38"/>
        <v>-20786.21</v>
      </c>
      <c r="J122" s="60">
        <f>F122/D122*100</f>
        <v>9.930626570760031</v>
      </c>
      <c r="K122" s="60">
        <f>F122-14737.3</f>
        <v>-12445.509999999998</v>
      </c>
      <c r="L122" s="138">
        <f>F122/14737.3</f>
        <v>0.15550948952657542</v>
      </c>
      <c r="M122" s="40">
        <f>E122-липень!E122</f>
        <v>2381.5</v>
      </c>
      <c r="N122" s="40">
        <f>F122-липень!F122</f>
        <v>55.820000000000164</v>
      </c>
      <c r="O122" s="53">
        <f t="shared" si="41"/>
        <v>-2325.68</v>
      </c>
      <c r="P122" s="60">
        <f t="shared" si="42"/>
        <v>2.3439009027923645</v>
      </c>
      <c r="Q122" s="60">
        <f>N122-560</f>
        <v>-504.17999999999984</v>
      </c>
      <c r="R122" s="138">
        <f>N122/560</f>
        <v>0.09967857142857173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1241.63</v>
      </c>
      <c r="F123" s="174">
        <v>864.62</v>
      </c>
      <c r="G123" s="49">
        <f t="shared" si="37"/>
        <v>-377.0100000000001</v>
      </c>
      <c r="H123" s="40">
        <f t="shared" si="39"/>
        <v>69.63588186496781</v>
      </c>
      <c r="I123" s="60">
        <f t="shared" si="38"/>
        <v>-1135.38</v>
      </c>
      <c r="J123" s="60">
        <f>F123/D123*100</f>
        <v>43.231</v>
      </c>
      <c r="K123" s="60">
        <f>F123-1640.1</f>
        <v>-775.4799999999999</v>
      </c>
      <c r="L123" s="138">
        <f>F123/1640.1</f>
        <v>0.5271751722455948</v>
      </c>
      <c r="M123" s="40">
        <f>E123-липень!E123</f>
        <v>189.59000000000015</v>
      </c>
      <c r="N123" s="40">
        <f>F123-липень!F123</f>
        <v>100.39999999999998</v>
      </c>
      <c r="O123" s="53">
        <f t="shared" si="41"/>
        <v>-89.19000000000017</v>
      </c>
      <c r="P123" s="60">
        <f t="shared" si="42"/>
        <v>52.95637955588369</v>
      </c>
      <c r="Q123" s="60">
        <f>N123-290.7</f>
        <v>-190.3</v>
      </c>
      <c r="R123" s="138">
        <f>N123/290.7</f>
        <v>0.34537323701410383</v>
      </c>
    </row>
    <row r="124" spans="2:18" ht="34.5">
      <c r="B124" s="37" t="s">
        <v>144</v>
      </c>
      <c r="C124" s="95"/>
      <c r="D124" s="38">
        <f>D120+D121+D122+D123+D119</f>
        <v>102071.19</v>
      </c>
      <c r="E124" s="38">
        <f>E120+E121+E122+E123+E119</f>
        <v>62173.729999999996</v>
      </c>
      <c r="F124" s="173">
        <f>F120+F121+F122+F123+F119</f>
        <v>61314.520000000004</v>
      </c>
      <c r="G124" s="62">
        <f t="shared" si="37"/>
        <v>-859.2099999999919</v>
      </c>
      <c r="H124" s="72">
        <f t="shared" si="39"/>
        <v>98.61804977761508</v>
      </c>
      <c r="I124" s="61">
        <f t="shared" si="38"/>
        <v>-40756.67</v>
      </c>
      <c r="J124" s="61">
        <f>F124/D124*100</f>
        <v>60.07034893979388</v>
      </c>
      <c r="K124" s="61">
        <f>F124-65296.9</f>
        <v>-3982.3799999999974</v>
      </c>
      <c r="L124" s="139">
        <f>F124/65296.9</f>
        <v>0.9390111934869803</v>
      </c>
      <c r="M124" s="62">
        <f>M120+M121+M122+M123+M119</f>
        <v>10711.09</v>
      </c>
      <c r="N124" s="62">
        <f>N120+N121+N122+N123+N119</f>
        <v>10167.399999999992</v>
      </c>
      <c r="O124" s="61">
        <f t="shared" si="41"/>
        <v>-543.6900000000078</v>
      </c>
      <c r="P124" s="61">
        <f t="shared" si="42"/>
        <v>94.92404601212381</v>
      </c>
      <c r="Q124" s="61">
        <f>N124-8817.5</f>
        <v>1349.8999999999924</v>
      </c>
      <c r="R124" s="139">
        <f>N124/8817.5</f>
        <v>1.153093280408278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23.16</v>
      </c>
      <c r="F125" s="174">
        <v>14.17</v>
      </c>
      <c r="G125" s="49">
        <f t="shared" si="37"/>
        <v>-8.99</v>
      </c>
      <c r="H125" s="40">
        <f t="shared" si="39"/>
        <v>61.183074265975826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E125-липень!E125</f>
        <v>4</v>
      </c>
      <c r="N125" s="40">
        <f>F125-липень!F125</f>
        <v>0</v>
      </c>
      <c r="O125" s="53">
        <f t="shared" si="41"/>
        <v>-4</v>
      </c>
      <c r="P125" s="60">
        <f t="shared" si="42"/>
        <v>0</v>
      </c>
      <c r="Q125" s="60">
        <f>N125-2.5</f>
        <v>-2.5</v>
      </c>
      <c r="R125" s="138">
        <f>N125/2.5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E126-липень!E126</f>
        <v>0</v>
      </c>
      <c r="N126" s="40">
        <f>F126-липень!F126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E127-липень!E127</f>
        <v>0</v>
      </c>
      <c r="N127" s="40">
        <f>F127-липень!F127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6717.5</v>
      </c>
      <c r="F128" s="174">
        <v>7363.52</v>
      </c>
      <c r="G128" s="49">
        <f aca="true" t="shared" si="43" ref="G128:G135">F128-E128</f>
        <v>646.0200000000004</v>
      </c>
      <c r="H128" s="40">
        <f>F128/E128*100</f>
        <v>109.61697059918126</v>
      </c>
      <c r="I128" s="60">
        <f aca="true" t="shared" si="44" ref="I128:I135">F128-D128</f>
        <v>-1336.4799999999996</v>
      </c>
      <c r="J128" s="60">
        <f>F128/D128*100</f>
        <v>84.63816091954024</v>
      </c>
      <c r="K128" s="60">
        <f>F128-8680.2</f>
        <v>-1316.6800000000003</v>
      </c>
      <c r="L128" s="138">
        <f>F128/8680.2</f>
        <v>0.8483122508697956</v>
      </c>
      <c r="M128" s="40">
        <f>E128-липень!E128</f>
        <v>1702</v>
      </c>
      <c r="N128" s="40">
        <f>F128-липень!F128</f>
        <v>2055.3500000000004</v>
      </c>
      <c r="O128" s="53">
        <f aca="true" t="shared" si="45" ref="O128:O135">N128-M128</f>
        <v>353.35000000000036</v>
      </c>
      <c r="P128" s="60">
        <f>N128/M128*100</f>
        <v>120.7608695652174</v>
      </c>
      <c r="Q128" s="60">
        <f>N128-2359.4</f>
        <v>-304.0499999999997</v>
      </c>
      <c r="R128" s="162">
        <f>N128/2359.4</f>
        <v>0.8711324913113505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0.85</v>
      </c>
      <c r="G129" s="49">
        <f t="shared" si="43"/>
        <v>0.85</v>
      </c>
      <c r="H129" s="40"/>
      <c r="I129" s="60">
        <f t="shared" si="44"/>
        <v>0.85</v>
      </c>
      <c r="J129" s="60"/>
      <c r="K129" s="60">
        <f>F129-0.3</f>
        <v>0.55</v>
      </c>
      <c r="L129" s="138">
        <f>F129/0.3</f>
        <v>2.8333333333333335</v>
      </c>
      <c r="M129" s="40">
        <f>E129-липень!E129</f>
        <v>0</v>
      </c>
      <c r="N129" s="40">
        <f>F129-липень!F129</f>
        <v>0.32999999999999996</v>
      </c>
      <c r="O129" s="53">
        <f t="shared" si="45"/>
        <v>0.32999999999999996</v>
      </c>
      <c r="P129" s="60"/>
      <c r="Q129" s="60">
        <f>N129-0.4</f>
        <v>-0.07000000000000006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6747.86</v>
      </c>
      <c r="F130" s="173">
        <f>F128+F125+F129+F127</f>
        <v>7398.02</v>
      </c>
      <c r="G130" s="62">
        <f t="shared" si="43"/>
        <v>650.1600000000008</v>
      </c>
      <c r="H130" s="72">
        <f>F130/E130*100</f>
        <v>109.63505466918402</v>
      </c>
      <c r="I130" s="61">
        <f t="shared" si="44"/>
        <v>-1352.6800000000003</v>
      </c>
      <c r="J130" s="61">
        <f>F130/D130*100</f>
        <v>84.54203663706903</v>
      </c>
      <c r="K130" s="61">
        <f>F130-8800.6</f>
        <v>-1402.58</v>
      </c>
      <c r="L130" s="139">
        <f>G130/8800.6</f>
        <v>0.0738767811285595</v>
      </c>
      <c r="M130" s="62">
        <f>M125+M128+M129+M127</f>
        <v>1706</v>
      </c>
      <c r="N130" s="62">
        <f>N125+N128+N129+N127</f>
        <v>2055.6800000000003</v>
      </c>
      <c r="O130" s="61">
        <f t="shared" si="45"/>
        <v>349.6800000000003</v>
      </c>
      <c r="P130" s="61">
        <f>N130/M130*100</f>
        <v>120.49706916764362</v>
      </c>
      <c r="Q130" s="61">
        <f>N130-2362.3</f>
        <v>-306.6199999999999</v>
      </c>
      <c r="R130" s="137">
        <f>N130/2362.3</f>
        <v>0.8702027684883377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16.45</v>
      </c>
      <c r="F131" s="174">
        <v>22.62</v>
      </c>
      <c r="G131" s="49">
        <f>F131-E131</f>
        <v>6.170000000000002</v>
      </c>
      <c r="H131" s="40">
        <f>F131/E131*100</f>
        <v>137.50759878419453</v>
      </c>
      <c r="I131" s="60">
        <f>F131-D131</f>
        <v>-7.379999999999999</v>
      </c>
      <c r="J131" s="60">
        <f>F131/D131*100</f>
        <v>75.4</v>
      </c>
      <c r="K131" s="60">
        <f>F131-17.7</f>
        <v>4.920000000000002</v>
      </c>
      <c r="L131" s="138">
        <f>F131/17.7</f>
        <v>1.2779661016949153</v>
      </c>
      <c r="M131" s="40">
        <f>E131-липень!E131</f>
        <v>0.3999999999999986</v>
      </c>
      <c r="N131" s="40">
        <f>F131-липень!F131</f>
        <v>0.22000000000000242</v>
      </c>
      <c r="O131" s="53">
        <f>N131-M131</f>
        <v>-0.17999999999999616</v>
      </c>
      <c r="P131" s="60">
        <f>N131/M131*100</f>
        <v>55.0000000000008</v>
      </c>
      <c r="Q131" s="60">
        <f>N131-0.5</f>
        <v>-0.2799999999999976</v>
      </c>
      <c r="R131" s="138">
        <f>N131/0.5</f>
        <v>0.44000000000000483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E132-липень!E132</f>
        <v>0</v>
      </c>
      <c r="N132" s="40">
        <f>F132-липень!F132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E133-липень!E133</f>
        <v>0</v>
      </c>
      <c r="N133" s="40">
        <f>F133-липень!F133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114791.49</v>
      </c>
      <c r="E134" s="31">
        <f>E117+E131+E124+E130+E133+E132</f>
        <v>71468.64</v>
      </c>
      <c r="F134" s="31">
        <f>F117+F131+F124+F130+F133+F132</f>
        <v>69927.04000000001</v>
      </c>
      <c r="G134" s="50">
        <f t="shared" si="43"/>
        <v>-1541.5999999999913</v>
      </c>
      <c r="H134" s="51">
        <f>F134/E134*100</f>
        <v>97.84297000754458</v>
      </c>
      <c r="I134" s="36">
        <f t="shared" si="44"/>
        <v>-44864.45</v>
      </c>
      <c r="J134" s="36">
        <f>F134/D134*100</f>
        <v>60.91657142877055</v>
      </c>
      <c r="K134" s="36">
        <f>F134-77238.6</f>
        <v>-7311.559999999998</v>
      </c>
      <c r="L134" s="136">
        <f>F134/77238.6</f>
        <v>0.9053380045728432</v>
      </c>
      <c r="M134" s="31">
        <f>M117+M131+M124+M130+M133+M132</f>
        <v>12766.99</v>
      </c>
      <c r="N134" s="31">
        <f>N117+N131+N124+N130+N133+N132</f>
        <v>12419.629999999992</v>
      </c>
      <c r="O134" s="36">
        <f t="shared" si="45"/>
        <v>-347.36000000000786</v>
      </c>
      <c r="P134" s="36">
        <f>N134/M134*100</f>
        <v>97.27923339800526</v>
      </c>
      <c r="Q134" s="36">
        <f>N134-11937.6</f>
        <v>482.02999999999156</v>
      </c>
      <c r="R134" s="136">
        <f>N134/11937.6</f>
        <v>1.0403791381852292</v>
      </c>
    </row>
    <row r="135" spans="2:18" ht="30.75" customHeight="1">
      <c r="B135" s="28" t="s">
        <v>115</v>
      </c>
      <c r="C135" s="96"/>
      <c r="D135" s="31">
        <f>D107+D134</f>
        <v>621671.09</v>
      </c>
      <c r="E135" s="31">
        <f>E107+E134</f>
        <v>394102.73000000004</v>
      </c>
      <c r="F135" s="31">
        <f>F107+F134</f>
        <v>387490.1399999999</v>
      </c>
      <c r="G135" s="50">
        <f t="shared" si="43"/>
        <v>-6612.590000000142</v>
      </c>
      <c r="H135" s="51">
        <f>F135/E135*100</f>
        <v>98.32211515002697</v>
      </c>
      <c r="I135" s="36">
        <f t="shared" si="44"/>
        <v>-234180.95000000007</v>
      </c>
      <c r="J135" s="36">
        <f>F135/D135*100</f>
        <v>62.330410120888835</v>
      </c>
      <c r="K135" s="36">
        <f>F135-396993.9</f>
        <v>-9503.760000000126</v>
      </c>
      <c r="L135" s="136">
        <f>F135/396993.9</f>
        <v>0.9760606901012834</v>
      </c>
      <c r="M135" s="22">
        <f>M107+M134</f>
        <v>55169.16999999999</v>
      </c>
      <c r="N135" s="22">
        <f>N107+N134</f>
        <v>53397.79999999998</v>
      </c>
      <c r="O135" s="36">
        <f t="shared" si="45"/>
        <v>-1771.37000000001</v>
      </c>
      <c r="P135" s="36">
        <f>N135/M135*100</f>
        <v>96.78920310020975</v>
      </c>
      <c r="Q135" s="36">
        <f>N135-52532.5</f>
        <v>865.2999999999811</v>
      </c>
      <c r="R135" s="136">
        <f>N135/52532.5</f>
        <v>1.0164717079902914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41880</v>
      </c>
      <c r="D139" s="39">
        <v>5085.3</v>
      </c>
      <c r="N139" s="194"/>
      <c r="O139" s="194"/>
    </row>
    <row r="140" spans="3:15" ht="15.75">
      <c r="C140" s="120">
        <v>41879</v>
      </c>
      <c r="D140" s="39">
        <v>3653.6</v>
      </c>
      <c r="F140" s="4" t="s">
        <v>166</v>
      </c>
      <c r="G140" s="190" t="s">
        <v>151</v>
      </c>
      <c r="H140" s="190"/>
      <c r="I140" s="115">
        <v>13829.857960000001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41878</v>
      </c>
      <c r="D141" s="39">
        <v>1194.3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127799.14</v>
      </c>
      <c r="E143" s="80"/>
      <c r="F143" s="100" t="s">
        <v>147</v>
      </c>
      <c r="G143" s="190" t="s">
        <v>149</v>
      </c>
      <c r="H143" s="190"/>
      <c r="I143" s="116">
        <v>113969.28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18493.9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18" right="0.15" top="0.27" bottom="0.24" header="0.18" footer="0.17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F10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M108" sqref="M10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2.1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256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252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249</v>
      </c>
      <c r="H4" s="206" t="s">
        <v>250</v>
      </c>
      <c r="I4" s="202" t="s">
        <v>188</v>
      </c>
      <c r="J4" s="208" t="s">
        <v>189</v>
      </c>
      <c r="K4" s="195" t="s">
        <v>254</v>
      </c>
      <c r="L4" s="196"/>
      <c r="M4" s="216"/>
      <c r="N4" s="200" t="s">
        <v>257</v>
      </c>
      <c r="O4" s="202" t="s">
        <v>136</v>
      </c>
      <c r="P4" s="202" t="s">
        <v>135</v>
      </c>
      <c r="Q4" s="195" t="s">
        <v>255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248</v>
      </c>
      <c r="F5" s="219"/>
      <c r="G5" s="205"/>
      <c r="H5" s="207"/>
      <c r="I5" s="203"/>
      <c r="J5" s="209"/>
      <c r="K5" s="197"/>
      <c r="L5" s="198"/>
      <c r="M5" s="151" t="s">
        <v>251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269125.2800000001</v>
      </c>
      <c r="G8" s="22">
        <f aca="true" t="shared" si="0" ref="G8:G30">F8-E8</f>
        <v>-2109.4299999998766</v>
      </c>
      <c r="H8" s="51">
        <f>F8/E8*100</f>
        <v>99.22228611522476</v>
      </c>
      <c r="I8" s="36">
        <f aca="true" t="shared" si="1" ref="I8:I17">F8-D8</f>
        <v>-219351.0199999999</v>
      </c>
      <c r="J8" s="36">
        <f aca="true" t="shared" si="2" ref="J8:J14">F8/D8*100</f>
        <v>55.0948490233815</v>
      </c>
      <c r="K8" s="36">
        <f>F8-267884.5</f>
        <v>1240.7800000000861</v>
      </c>
      <c r="L8" s="136">
        <f>F8/267884.5</f>
        <v>1.004631772274992</v>
      </c>
      <c r="M8" s="22">
        <f>M10+M19+M33+M56+M68+M30</f>
        <v>37968.180000000015</v>
      </c>
      <c r="N8" s="22">
        <f>N10+N19+N33+N56+N68+N30</f>
        <v>42706.26</v>
      </c>
      <c r="O8" s="36">
        <f aca="true" t="shared" si="3" ref="O8:O71">N8-M8</f>
        <v>4738.079999999987</v>
      </c>
      <c r="P8" s="36">
        <f>F8/M8*100</f>
        <v>708.8179628309811</v>
      </c>
      <c r="Q8" s="36">
        <f>N8-39945.7</f>
        <v>2760.560000000005</v>
      </c>
      <c r="R8" s="134">
        <f>N8/39945.7</f>
        <v>1.0691078138573114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217885.62</v>
      </c>
      <c r="G9" s="22">
        <f t="shared" si="0"/>
        <v>217885.62</v>
      </c>
      <c r="H9" s="20"/>
      <c r="I9" s="56">
        <f t="shared" si="1"/>
        <v>-169127.58000000002</v>
      </c>
      <c r="J9" s="56">
        <f t="shared" si="2"/>
        <v>56.29927351315148</v>
      </c>
      <c r="K9" s="56"/>
      <c r="L9" s="135"/>
      <c r="M9" s="20">
        <f>M10+M17</f>
        <v>30824.800000000017</v>
      </c>
      <c r="N9" s="20">
        <f>N10+N17</f>
        <v>34887.48999999999</v>
      </c>
      <c r="O9" s="36">
        <f t="shared" si="3"/>
        <v>4062.689999999973</v>
      </c>
      <c r="P9" s="56">
        <f>F9/M9*100</f>
        <v>706.8516908463312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217885.62</v>
      </c>
      <c r="G10" s="49">
        <f t="shared" si="0"/>
        <v>-3485.4800000000105</v>
      </c>
      <c r="H10" s="40">
        <f aca="true" t="shared" si="4" ref="H10:H17">F10/E10*100</f>
        <v>98.42550360006341</v>
      </c>
      <c r="I10" s="56">
        <f t="shared" si="1"/>
        <v>-169127.58000000002</v>
      </c>
      <c r="J10" s="56">
        <f t="shared" si="2"/>
        <v>56.29927351315148</v>
      </c>
      <c r="K10" s="141">
        <f>F10-211325.8</f>
        <v>6559.820000000007</v>
      </c>
      <c r="L10" s="142">
        <f>F10/211325.8</f>
        <v>1.031041264246959</v>
      </c>
      <c r="M10" s="40">
        <f>E10-червень!E10</f>
        <v>30824.800000000017</v>
      </c>
      <c r="N10" s="40">
        <f>F10-червень!F10</f>
        <v>34887.48999999999</v>
      </c>
      <c r="O10" s="53">
        <f t="shared" si="3"/>
        <v>4062.689999999973</v>
      </c>
      <c r="P10" s="56">
        <f aca="true" t="shared" si="5" ref="P10:P17">N10/M10*100</f>
        <v>113.17993952921015</v>
      </c>
      <c r="Q10" s="141">
        <f>N10-32192.1</f>
        <v>2695.389999999992</v>
      </c>
      <c r="R10" s="142">
        <f>N10/32192.1</f>
        <v>1.0837283060129657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349.38</v>
      </c>
      <c r="G19" s="49">
        <f t="shared" si="0"/>
        <v>-684.2199999999999</v>
      </c>
      <c r="H19" s="40">
        <f aca="true" t="shared" si="6" ref="H19:H29">F19/E19*100</f>
        <v>33.80224458204334</v>
      </c>
      <c r="I19" s="56">
        <f aca="true" t="shared" si="7" ref="I19:I29">F19-D19</f>
        <v>-650.62</v>
      </c>
      <c r="J19" s="56">
        <f aca="true" t="shared" si="8" ref="J19:J29">F19/D19*100</f>
        <v>34.937999999999995</v>
      </c>
      <c r="K19" s="56">
        <f>F19-6042.8</f>
        <v>-5693.42</v>
      </c>
      <c r="L19" s="135">
        <f>F19/6042.8</f>
        <v>0.05781756801482756</v>
      </c>
      <c r="M19" s="40">
        <f>E19-червень!E19</f>
        <v>10.999999999999886</v>
      </c>
      <c r="N19" s="40">
        <f>F19-червень!F19</f>
        <v>31.50999999999999</v>
      </c>
      <c r="O19" s="53">
        <f t="shared" si="3"/>
        <v>20.510000000000105</v>
      </c>
      <c r="P19" s="56">
        <f aca="true" t="shared" si="9" ref="P19:P29">N19/M19*100</f>
        <v>286.45454545454834</v>
      </c>
      <c r="Q19" s="56">
        <f>N19-422.4</f>
        <v>-390.89</v>
      </c>
      <c r="R19" s="135">
        <f>N19/422.4</f>
        <v>0.07459753787878787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850.64</v>
      </c>
      <c r="G29" s="49">
        <f t="shared" si="0"/>
        <v>117.03999999999996</v>
      </c>
      <c r="H29" s="40">
        <f t="shared" si="6"/>
        <v>115.95419847328243</v>
      </c>
      <c r="I29" s="56">
        <f t="shared" si="7"/>
        <v>-79.36000000000001</v>
      </c>
      <c r="J29" s="56">
        <f t="shared" si="8"/>
        <v>91.46666666666667</v>
      </c>
      <c r="K29" s="148">
        <f>F29-2423.68</f>
        <v>-1573.04</v>
      </c>
      <c r="L29" s="149">
        <f>F29/2423.68</f>
        <v>0.3509704251386322</v>
      </c>
      <c r="M29" s="40">
        <f>E29-червень!E29</f>
        <v>-29</v>
      </c>
      <c r="N29" s="40">
        <f>F29-червень!F29</f>
        <v>22.49000000000001</v>
      </c>
      <c r="O29" s="148">
        <f t="shared" si="3"/>
        <v>51.49000000000001</v>
      </c>
      <c r="P29" s="145">
        <f t="shared" si="9"/>
        <v>-77.55172413793106</v>
      </c>
      <c r="Q29" s="148">
        <f>N29-422.37</f>
        <v>-399.88</v>
      </c>
      <c r="R29" s="149">
        <f>N29/422.37</f>
        <v>0.05324715297014468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v>3.32</v>
      </c>
      <c r="G30" s="49">
        <f t="shared" si="0"/>
        <v>-15.18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E30-червень!E30</f>
        <v>0.5</v>
      </c>
      <c r="N30" s="40">
        <f>F30-червень!F30</f>
        <v>0.4099999999999997</v>
      </c>
      <c r="O30" s="53">
        <f t="shared" si="3"/>
        <v>-0.0900000000000003</v>
      </c>
      <c r="P30" s="56"/>
      <c r="Q30" s="56">
        <f>N30-0</f>
        <v>0.4099999999999997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47102.16</v>
      </c>
      <c r="G33" s="49">
        <f aca="true" t="shared" si="14" ref="G33:G72">F33-E33</f>
        <v>2241.050000000003</v>
      </c>
      <c r="H33" s="40">
        <f aca="true" t="shared" si="15" ref="H33:H67">F33/E33*100</f>
        <v>104.995529535493</v>
      </c>
      <c r="I33" s="56">
        <f>F33-D33</f>
        <v>-46463.84</v>
      </c>
      <c r="J33" s="56">
        <f aca="true" t="shared" si="16" ref="J33:J72">F33/D33*100</f>
        <v>50.341106812303615</v>
      </c>
      <c r="K33" s="141">
        <f>F33-46836.9</f>
        <v>265.26000000000204</v>
      </c>
      <c r="L33" s="142">
        <f>F33/46836.9</f>
        <v>1.0056634832792093</v>
      </c>
      <c r="M33" s="40">
        <f>E33-червень!E33</f>
        <v>6579.879999999997</v>
      </c>
      <c r="N33" s="40">
        <f>F33-червень!F33</f>
        <v>7269.100000000006</v>
      </c>
      <c r="O33" s="53">
        <f t="shared" si="3"/>
        <v>689.2200000000084</v>
      </c>
      <c r="P33" s="56">
        <f aca="true" t="shared" si="17" ref="P33:P67">N33/M33*100</f>
        <v>110.47465911232437</v>
      </c>
      <c r="Q33" s="141">
        <f>N33-6866.9</f>
        <v>402.2000000000062</v>
      </c>
      <c r="R33" s="142">
        <f>N33/6866.9</f>
        <v>1.0585708252632202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34882.9</v>
      </c>
      <c r="G55" s="144">
        <f t="shared" si="14"/>
        <v>1772.0900000000038</v>
      </c>
      <c r="H55" s="146">
        <f t="shared" si="15"/>
        <v>105.35199833528688</v>
      </c>
      <c r="I55" s="145">
        <f t="shared" si="18"/>
        <v>-35383.1</v>
      </c>
      <c r="J55" s="145">
        <f t="shared" si="16"/>
        <v>49.644066831753626</v>
      </c>
      <c r="K55" s="148">
        <f>F55-33694.14</f>
        <v>1188.760000000002</v>
      </c>
      <c r="L55" s="149">
        <f>F55/33694.14</f>
        <v>1.035280912348557</v>
      </c>
      <c r="M55" s="40">
        <f>E55-червень!E55</f>
        <v>4779.879999999997</v>
      </c>
      <c r="N55" s="40">
        <f>F55-червень!F55</f>
        <v>5116.310000000001</v>
      </c>
      <c r="O55" s="148">
        <f t="shared" si="3"/>
        <v>336.43000000000393</v>
      </c>
      <c r="P55" s="148">
        <f t="shared" si="17"/>
        <v>107.03846121659966</v>
      </c>
      <c r="Q55" s="163">
        <f>N55-4878.99</f>
        <v>237.32000000000153</v>
      </c>
      <c r="R55" s="164">
        <f>N55/4878.99</f>
        <v>1.0486412146776283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12.88+3770.89</f>
        <v>3783.77</v>
      </c>
      <c r="G56" s="49">
        <f t="shared" si="14"/>
        <v>-166.5300000000002</v>
      </c>
      <c r="H56" s="40">
        <f t="shared" si="15"/>
        <v>95.78437080728045</v>
      </c>
      <c r="I56" s="56">
        <f t="shared" si="18"/>
        <v>-3076.23</v>
      </c>
      <c r="J56" s="56">
        <f t="shared" si="16"/>
        <v>55.15699708454811</v>
      </c>
      <c r="K56" s="56">
        <f>F56-3653.5</f>
        <v>130.26999999999998</v>
      </c>
      <c r="L56" s="135">
        <f>F56/3653.5</f>
        <v>1.0356562200629533</v>
      </c>
      <c r="M56" s="40">
        <f>E56-червень!E56</f>
        <v>552</v>
      </c>
      <c r="N56" s="40">
        <f>F56-червень!F56</f>
        <v>517.6999999999998</v>
      </c>
      <c r="O56" s="53">
        <f t="shared" si="3"/>
        <v>-34.30000000000018</v>
      </c>
      <c r="P56" s="56">
        <f t="shared" si="17"/>
        <v>93.78623188405794</v>
      </c>
      <c r="Q56" s="56">
        <f>N56-464.2</f>
        <v>53.49999999999983</v>
      </c>
      <c r="R56" s="135">
        <f>N56/464.2</f>
        <v>1.115252046531667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F68-0.5</f>
        <v>0.53</v>
      </c>
      <c r="L68" s="135"/>
      <c r="M68" s="40">
        <f>E68-червень!E68</f>
        <v>0</v>
      </c>
      <c r="N68" s="40">
        <f>F68-червень!F68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7444.139999999999</v>
      </c>
      <c r="G74" s="50">
        <f aca="true" t="shared" si="24" ref="G74:G92">F74-E74</f>
        <v>-1534.8600000000006</v>
      </c>
      <c r="H74" s="51">
        <f aca="true" t="shared" si="25" ref="H74:H87">F74/E74*100</f>
        <v>82.90611426662211</v>
      </c>
      <c r="I74" s="36">
        <f aca="true" t="shared" si="26" ref="I74:I92">F74-D74</f>
        <v>-10914.16</v>
      </c>
      <c r="J74" s="36">
        <f aca="true" t="shared" si="27" ref="J74:J92">F74/D74*100</f>
        <v>40.549179390248554</v>
      </c>
      <c r="K74" s="36">
        <f>F74-11260</f>
        <v>-3815.8600000000006</v>
      </c>
      <c r="L74" s="136">
        <f>F74/11260</f>
        <v>0.6611136767317939</v>
      </c>
      <c r="M74" s="22">
        <f>M77+M86+M88+M89+M94+M95+M96+M97+M99+M87+M104</f>
        <v>1550.5</v>
      </c>
      <c r="N74" s="22">
        <f>N77+N86+N88+N89+N94+N95+N96+N97+N99+N32+N104+N87+N103</f>
        <v>1102.5600000000004</v>
      </c>
      <c r="O74" s="55">
        <f aca="true" t="shared" si="28" ref="O74:O92">N74-M74</f>
        <v>-447.9399999999996</v>
      </c>
      <c r="P74" s="36">
        <f>N74/M74*100</f>
        <v>71.10996452757178</v>
      </c>
      <c r="Q74" s="36">
        <f>N74-2110.7</f>
        <v>-1008.1399999999994</v>
      </c>
      <c r="R74" s="136">
        <f>N74/2110.7</f>
        <v>0.5223669872554131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106.29</v>
      </c>
      <c r="G77" s="49">
        <f t="shared" si="24"/>
        <v>46.290000000000006</v>
      </c>
      <c r="H77" s="40">
        <f t="shared" si="25"/>
        <v>177.15</v>
      </c>
      <c r="I77" s="56">
        <f t="shared" si="26"/>
        <v>-393.71</v>
      </c>
      <c r="J77" s="56">
        <f t="shared" si="27"/>
        <v>21.258000000000003</v>
      </c>
      <c r="K77" s="56">
        <f>F77-1684.2</f>
        <v>-1577.91</v>
      </c>
      <c r="L77" s="135">
        <f>F77/1684.2</f>
        <v>0.06311008193801211</v>
      </c>
      <c r="M77" s="40">
        <f>E77-червень!E77</f>
        <v>0</v>
      </c>
      <c r="N77" s="40">
        <f>F77-червень!F77</f>
        <v>1.1000000000000085</v>
      </c>
      <c r="O77" s="53">
        <f t="shared" si="28"/>
        <v>1.1000000000000085</v>
      </c>
      <c r="P77" s="56" t="e">
        <f aca="true" t="shared" si="29" ref="P77:P87">N77/M77*100</f>
        <v>#DIV/0!</v>
      </c>
      <c r="Q77" s="56">
        <f>N77-14.3</f>
        <v>-13.199999999999992</v>
      </c>
      <c r="R77" s="135">
        <f>N77/14.3</f>
        <v>0.07692307692307751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78.24</v>
      </c>
      <c r="G89" s="49">
        <f t="shared" si="24"/>
        <v>-20.760000000000005</v>
      </c>
      <c r="H89" s="40">
        <f>F89/E89*100</f>
        <v>79.03030303030303</v>
      </c>
      <c r="I89" s="56">
        <f t="shared" si="26"/>
        <v>-96.76</v>
      </c>
      <c r="J89" s="56">
        <f t="shared" si="27"/>
        <v>44.708571428571425</v>
      </c>
      <c r="K89" s="56">
        <f>F89-94</f>
        <v>-15.760000000000005</v>
      </c>
      <c r="L89" s="135">
        <f>F89/94</f>
        <v>0.8323404255319148</v>
      </c>
      <c r="M89" s="40">
        <f>E89-червень!E89</f>
        <v>15</v>
      </c>
      <c r="N89" s="40">
        <f>F89-червень!F89</f>
        <v>16.46999999999999</v>
      </c>
      <c r="O89" s="53">
        <f t="shared" si="28"/>
        <v>1.4699999999999918</v>
      </c>
      <c r="P89" s="56">
        <f>N89/M89*100</f>
        <v>109.79999999999994</v>
      </c>
      <c r="Q89" s="56">
        <f>N89-12.8</f>
        <v>3.669999999999991</v>
      </c>
      <c r="R89" s="135">
        <f>N89/12.8</f>
        <v>1.2867187499999992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4143.38</v>
      </c>
      <c r="G95" s="49">
        <f t="shared" si="31"/>
        <v>36.88000000000011</v>
      </c>
      <c r="H95" s="40">
        <f>F95/E95*100</f>
        <v>100.89808839644468</v>
      </c>
      <c r="I95" s="56">
        <f t="shared" si="32"/>
        <v>-2856.62</v>
      </c>
      <c r="J95" s="56">
        <f>F95/D95*100</f>
        <v>59.19114285714285</v>
      </c>
      <c r="K95" s="56">
        <f>F95-4251.4</f>
        <v>-108.01999999999953</v>
      </c>
      <c r="L95" s="135">
        <f>F95/4251.4</f>
        <v>0.9745918991391073</v>
      </c>
      <c r="M95" s="40">
        <f>E95-червень!E95</f>
        <v>575</v>
      </c>
      <c r="N95" s="40">
        <f>F95-червень!F95</f>
        <v>591.6800000000003</v>
      </c>
      <c r="O95" s="53">
        <f t="shared" si="33"/>
        <v>16.68000000000029</v>
      </c>
      <c r="P95" s="56">
        <f>N95/M95*100</f>
        <v>102.90086956521745</v>
      </c>
      <c r="Q95" s="56">
        <f>N95-621.2</f>
        <v>-29.519999999999754</v>
      </c>
      <c r="R95" s="135">
        <f>N95/621.2</f>
        <v>0.9524790727623957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531.41</v>
      </c>
      <c r="G96" s="49">
        <f t="shared" si="31"/>
        <v>-73.09000000000003</v>
      </c>
      <c r="H96" s="40">
        <f>F96/E96*100</f>
        <v>87.90901571546732</v>
      </c>
      <c r="I96" s="56">
        <f t="shared" si="32"/>
        <v>-668.59</v>
      </c>
      <c r="J96" s="56">
        <f>F96/D96*100</f>
        <v>44.284166666666664</v>
      </c>
      <c r="K96" s="56">
        <f>F96-602.5</f>
        <v>-71.09000000000003</v>
      </c>
      <c r="L96" s="135">
        <f>F96/602.5</f>
        <v>0.8820082987551867</v>
      </c>
      <c r="M96" s="40">
        <f>E96-червень!E96</f>
        <v>130</v>
      </c>
      <c r="N96" s="40">
        <f>F96-червень!F96</f>
        <v>116.07999999999998</v>
      </c>
      <c r="O96" s="53">
        <f t="shared" si="33"/>
        <v>-13.920000000000016</v>
      </c>
      <c r="P96" s="56">
        <f>N96/M96*100</f>
        <v>89.29230769230769</v>
      </c>
      <c r="Q96" s="56">
        <f>N96-139.4</f>
        <v>-23.32000000000002</v>
      </c>
      <c r="R96" s="135">
        <f>N96/139.4</f>
        <v>0.8327116212338592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2346.09</v>
      </c>
      <c r="G99" s="49">
        <f t="shared" si="31"/>
        <v>159.09000000000015</v>
      </c>
      <c r="H99" s="40">
        <f>F99/E99*100</f>
        <v>107.27434842249657</v>
      </c>
      <c r="I99" s="56">
        <f t="shared" si="32"/>
        <v>-2226.6099999999997</v>
      </c>
      <c r="J99" s="56">
        <f>F99/D99*100</f>
        <v>51.30644914383188</v>
      </c>
      <c r="K99" s="56">
        <f>F99-2623.7</f>
        <v>-277.6099999999997</v>
      </c>
      <c r="L99" s="135">
        <f>F99/2623.7</f>
        <v>0.894191409078782</v>
      </c>
      <c r="M99" s="40">
        <f>E99-червень!E99</f>
        <v>350</v>
      </c>
      <c r="N99" s="40">
        <f>F99-червень!F99</f>
        <v>376.8100000000002</v>
      </c>
      <c r="O99" s="53">
        <f t="shared" si="33"/>
        <v>26.810000000000173</v>
      </c>
      <c r="P99" s="56">
        <f>N99/M99*100</f>
        <v>107.66000000000004</v>
      </c>
      <c r="Q99" s="56">
        <f>N99-632</f>
        <v>-255.18999999999983</v>
      </c>
      <c r="R99" s="135">
        <f>N99/632</f>
        <v>0.5962183544303801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469.9</v>
      </c>
      <c r="G102" s="144"/>
      <c r="H102" s="146"/>
      <c r="I102" s="145"/>
      <c r="J102" s="145"/>
      <c r="K102" s="148">
        <f>F102-325</f>
        <v>144.89999999999998</v>
      </c>
      <c r="L102" s="149">
        <f>F102/325</f>
        <v>1.4458461538461538</v>
      </c>
      <c r="M102" s="40">
        <f>E102-червень!E102</f>
        <v>0</v>
      </c>
      <c r="N102" s="40">
        <f>F102-червень!F102</f>
        <v>107.20999999999998</v>
      </c>
      <c r="O102" s="53"/>
      <c r="P102" s="60"/>
      <c r="Q102" s="60">
        <f>N102-80.2</f>
        <v>27.009999999999977</v>
      </c>
      <c r="R102" s="138">
        <f>N102/80.2</f>
        <v>1.3367830423940146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-50.07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15.43</v>
      </c>
      <c r="G105" s="49">
        <f>F105-E105</f>
        <v>-2.7699999999999996</v>
      </c>
      <c r="H105" s="40">
        <f>F105/E105*100</f>
        <v>84.78021978021978</v>
      </c>
      <c r="I105" s="56">
        <f t="shared" si="34"/>
        <v>-29.57</v>
      </c>
      <c r="J105" s="56">
        <f aca="true" t="shared" si="36" ref="J105:J110">F105/D105*100</f>
        <v>34.28888888888889</v>
      </c>
      <c r="K105" s="56">
        <f>F105-13.4</f>
        <v>2.0299999999999994</v>
      </c>
      <c r="L105" s="135">
        <f>F105/13.4</f>
        <v>1.1514925373134328</v>
      </c>
      <c r="M105" s="40">
        <f>E105-червень!E105</f>
        <v>3</v>
      </c>
      <c r="N105" s="40">
        <f>F105-червень!F105</f>
        <v>1.5199999999999996</v>
      </c>
      <c r="O105" s="53">
        <f t="shared" si="35"/>
        <v>-1.4800000000000004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276584.9300000001</v>
      </c>
      <c r="G107" s="50">
        <f>F107-E107</f>
        <v>-3646.979999999865</v>
      </c>
      <c r="H107" s="51">
        <f>F107/E107*100</f>
        <v>98.69858503979798</v>
      </c>
      <c r="I107" s="36">
        <f t="shared" si="34"/>
        <v>-230294.66999999987</v>
      </c>
      <c r="J107" s="36">
        <f t="shared" si="36"/>
        <v>54.56619875804829</v>
      </c>
      <c r="K107" s="36">
        <f>F107-279160.4</f>
        <v>-2575.469999999914</v>
      </c>
      <c r="L107" s="136">
        <f>F107/279160.4</f>
        <v>0.9907742287229854</v>
      </c>
      <c r="M107" s="22">
        <f>M8+M74+M105+M106</f>
        <v>39521.680000000015</v>
      </c>
      <c r="N107" s="22">
        <f>N8+N74+N105+N106</f>
        <v>43810.34</v>
      </c>
      <c r="O107" s="55">
        <f t="shared" si="35"/>
        <v>4288.659999999982</v>
      </c>
      <c r="P107" s="36">
        <f>N107/M107*100</f>
        <v>110.85141117482856</v>
      </c>
      <c r="Q107" s="36">
        <f>N107-42056.4</f>
        <v>1753.939999999995</v>
      </c>
      <c r="R107" s="136">
        <f>N107/42056.4</f>
        <v>1.041704473040964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218417.03</v>
      </c>
      <c r="G108" s="71">
        <f>G10-G18+G96</f>
        <v>-3558.5700000000106</v>
      </c>
      <c r="H108" s="72">
        <f>F108/E108*100</f>
        <v>98.39686434004457</v>
      </c>
      <c r="I108" s="52">
        <f t="shared" si="34"/>
        <v>-169796.17</v>
      </c>
      <c r="J108" s="52">
        <f t="shared" si="36"/>
        <v>56.26213379658394</v>
      </c>
      <c r="K108" s="52">
        <f>F108-212017.3</f>
        <v>6399.7300000000105</v>
      </c>
      <c r="L108" s="137">
        <f>F108/212017.3</f>
        <v>1.0301849424551677</v>
      </c>
      <c r="M108" s="71">
        <f>M10-M18+M96</f>
        <v>30954.800000000017</v>
      </c>
      <c r="N108" s="71">
        <f>N10-N18+N96</f>
        <v>35003.56999999999</v>
      </c>
      <c r="O108" s="53">
        <f t="shared" si="35"/>
        <v>4048.769999999975</v>
      </c>
      <c r="P108" s="52">
        <f>N108/M108*100</f>
        <v>113.07961931590569</v>
      </c>
      <c r="Q108" s="52">
        <f>N108-32331.5</f>
        <v>2672.0699999999924</v>
      </c>
      <c r="R108" s="137">
        <f>N108/32331.5</f>
        <v>1.0826460263210798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58167.90000000011</v>
      </c>
      <c r="G109" s="62">
        <f>F109-E109</f>
        <v>-88.40999999985797</v>
      </c>
      <c r="H109" s="72">
        <f>F109/E109*100</f>
        <v>99.84823961558867</v>
      </c>
      <c r="I109" s="52">
        <f t="shared" si="34"/>
        <v>-60498.499999999854</v>
      </c>
      <c r="J109" s="52">
        <f t="shared" si="36"/>
        <v>49.018003411243726</v>
      </c>
      <c r="K109" s="52">
        <f>F109-67143.1</f>
        <v>-8975.199999999895</v>
      </c>
      <c r="L109" s="137">
        <f>F109/67143.1</f>
        <v>0.8663272920076688</v>
      </c>
      <c r="M109" s="71">
        <f>M107-M108</f>
        <v>8566.879999999997</v>
      </c>
      <c r="N109" s="71">
        <f>N107-N108</f>
        <v>8806.770000000004</v>
      </c>
      <c r="O109" s="53">
        <f t="shared" si="35"/>
        <v>239.8900000000067</v>
      </c>
      <c r="P109" s="52">
        <f>N109/M109*100</f>
        <v>102.80020264086818</v>
      </c>
      <c r="Q109" s="52">
        <f>N109-9724.9</f>
        <v>-918.1299999999956</v>
      </c>
      <c r="R109" s="137">
        <f>N109/9924.9</f>
        <v>0.8873409303872084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218417.03</v>
      </c>
      <c r="G110" s="111">
        <f>F110-E110</f>
        <v>1811.3299999999872</v>
      </c>
      <c r="H110" s="72">
        <f>F110/E110*100</f>
        <v>100.83623376485475</v>
      </c>
      <c r="I110" s="81">
        <f t="shared" si="34"/>
        <v>-169796.17</v>
      </c>
      <c r="J110" s="52">
        <f t="shared" si="36"/>
        <v>56.26213379658394</v>
      </c>
      <c r="K110" s="52"/>
      <c r="L110" s="137"/>
      <c r="M110" s="72">
        <f>E110-червень!E110</f>
        <v>30954.800000000017</v>
      </c>
      <c r="N110" s="71">
        <f>N108</f>
        <v>35003.56999999999</v>
      </c>
      <c r="O110" s="63">
        <f t="shared" si="35"/>
        <v>4048.769999999975</v>
      </c>
      <c r="P110" s="52">
        <f>N110/M110*100</f>
        <v>113.07961931590569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813.35</v>
      </c>
      <c r="G115" s="49">
        <f t="shared" si="37"/>
        <v>-1211.25</v>
      </c>
      <c r="H115" s="40">
        <f aca="true" t="shared" si="39" ref="H115:H126">F115/E115*100</f>
        <v>40.173367578781</v>
      </c>
      <c r="I115" s="60">
        <f t="shared" si="38"/>
        <v>-2858.15</v>
      </c>
      <c r="J115" s="60">
        <f aca="true" t="shared" si="40" ref="J115:J121">F115/D115*100</f>
        <v>22.153070951927006</v>
      </c>
      <c r="K115" s="60">
        <f>F115-2198.8</f>
        <v>-1385.4500000000003</v>
      </c>
      <c r="L115" s="138">
        <f>F115/2198.8</f>
        <v>0.3699063125341095</v>
      </c>
      <c r="M115" s="40">
        <f>E115-червень!E115</f>
        <v>327.5</v>
      </c>
      <c r="N115" s="40">
        <f>F115-червень!F115</f>
        <v>207.26999999999998</v>
      </c>
      <c r="O115" s="53">
        <f aca="true" t="shared" si="41" ref="O115:O126">N115-M115</f>
        <v>-120.23000000000002</v>
      </c>
      <c r="P115" s="60">
        <f>N115/M115*100</f>
        <v>63.2885496183206</v>
      </c>
      <c r="Q115" s="60">
        <f>N115-307.3</f>
        <v>-100.03000000000003</v>
      </c>
      <c r="R115" s="138">
        <f>N115/307.3</f>
        <v>0.6744874715261958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995.5500000000001</v>
      </c>
      <c r="G117" s="62">
        <f t="shared" si="37"/>
        <v>-1185.5499999999997</v>
      </c>
      <c r="H117" s="72">
        <f t="shared" si="39"/>
        <v>45.64439961487323</v>
      </c>
      <c r="I117" s="61">
        <f t="shared" si="38"/>
        <v>-2944.0499999999997</v>
      </c>
      <c r="J117" s="61">
        <f t="shared" si="40"/>
        <v>25.27033201340238</v>
      </c>
      <c r="K117" s="61">
        <f>F117-2366</f>
        <v>-1370.4499999999998</v>
      </c>
      <c r="L117" s="139">
        <f>F117/2366</f>
        <v>0.4207734573119189</v>
      </c>
      <c r="M117" s="62">
        <f>M115+M116+M114</f>
        <v>349.5</v>
      </c>
      <c r="N117" s="38">
        <f>SUM(N114:N116)</f>
        <v>225.39999999999998</v>
      </c>
      <c r="O117" s="61">
        <f t="shared" si="41"/>
        <v>-124.10000000000002</v>
      </c>
      <c r="P117" s="61">
        <f>N117/M117*100</f>
        <v>64.49213161659513</v>
      </c>
      <c r="Q117" s="61">
        <f>N117-335.5</f>
        <v>-110.10000000000002</v>
      </c>
      <c r="R117" s="139">
        <f>N117/335.5</f>
        <v>0.671833084947839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259.07</v>
      </c>
      <c r="G119" s="49">
        <f t="shared" si="37"/>
        <v>76.57</v>
      </c>
      <c r="H119" s="40">
        <f t="shared" si="39"/>
        <v>141.95616438356166</v>
      </c>
      <c r="I119" s="60">
        <f t="shared" si="38"/>
        <v>-8.129999999999995</v>
      </c>
      <c r="J119" s="60">
        <f t="shared" si="40"/>
        <v>96.95733532934132</v>
      </c>
      <c r="K119" s="60">
        <f>F119-172.6</f>
        <v>86.47</v>
      </c>
      <c r="L119" s="138">
        <f>F119/172.6</f>
        <v>1.5009849362688297</v>
      </c>
      <c r="M119" s="40">
        <f>E119-червень!E119</f>
        <v>73</v>
      </c>
      <c r="N119" s="40">
        <f>F119-червень!F119</f>
        <v>120.78999999999999</v>
      </c>
      <c r="O119" s="53">
        <f>N119-M119</f>
        <v>47.78999999999999</v>
      </c>
      <c r="P119" s="60">
        <f>N119/M119*100</f>
        <v>165.46575342465752</v>
      </c>
      <c r="Q119" s="60">
        <f>N119-76.8</f>
        <v>43.989999999999995</v>
      </c>
      <c r="R119" s="138">
        <f>N119/76.8</f>
        <v>1.5727864583333333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46209.73</v>
      </c>
      <c r="G120" s="49">
        <f t="shared" si="37"/>
        <v>4897.130000000005</v>
      </c>
      <c r="H120" s="40">
        <f t="shared" si="39"/>
        <v>111.85384120098954</v>
      </c>
      <c r="I120" s="53">
        <f t="shared" si="38"/>
        <v>-25766.260000000002</v>
      </c>
      <c r="J120" s="60">
        <f t="shared" si="40"/>
        <v>64.20159000244388</v>
      </c>
      <c r="K120" s="60">
        <f>F120-39659.2</f>
        <v>6550.530000000006</v>
      </c>
      <c r="L120" s="138">
        <f>F120/39659.2</f>
        <v>1.165170502682858</v>
      </c>
      <c r="M120" s="40">
        <f>E120-червень!E120</f>
        <v>7100</v>
      </c>
      <c r="N120" s="40">
        <f>F120-червень!F120</f>
        <v>8156.020000000004</v>
      </c>
      <c r="O120" s="53">
        <f t="shared" si="41"/>
        <v>1056.020000000004</v>
      </c>
      <c r="P120" s="60">
        <f aca="true" t="shared" si="42" ref="P120:P125">N120/M120*100</f>
        <v>114.87352112676061</v>
      </c>
      <c r="Q120" s="60">
        <f>N120-7148.5</f>
        <v>1007.5200000000041</v>
      </c>
      <c r="R120" s="138">
        <f>N120/7148.5</f>
        <v>1.1409414562495634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1678.13</v>
      </c>
      <c r="G121" s="49">
        <f t="shared" si="37"/>
        <v>-4.869999999999891</v>
      </c>
      <c r="H121" s="40">
        <f t="shared" si="39"/>
        <v>99.71063576945932</v>
      </c>
      <c r="I121" s="60">
        <f t="shared" si="38"/>
        <v>-8321.869999999999</v>
      </c>
      <c r="J121" s="60">
        <f t="shared" si="40"/>
        <v>16.7813</v>
      </c>
      <c r="K121" s="60">
        <f>F121-1120.9</f>
        <v>557.23</v>
      </c>
      <c r="L121" s="138">
        <f>F121/1120.9</f>
        <v>1.4971273084128824</v>
      </c>
      <c r="M121" s="40">
        <f>E121-червень!E121</f>
        <v>16</v>
      </c>
      <c r="N121" s="40">
        <f>F121-червень!F121</f>
        <v>19.190000000000055</v>
      </c>
      <c r="O121" s="53">
        <f t="shared" si="41"/>
        <v>3.1900000000000546</v>
      </c>
      <c r="P121" s="60">
        <f t="shared" si="42"/>
        <v>119.93750000000034</v>
      </c>
      <c r="Q121" s="60">
        <f>N121-496.3</f>
        <v>-477.10999999999996</v>
      </c>
      <c r="R121" s="138">
        <f>N121/496.3</f>
        <v>0.038666129357243714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2235.97</v>
      </c>
      <c r="G122" s="49">
        <f t="shared" si="37"/>
        <v>-4996.530000000001</v>
      </c>
      <c r="H122" s="40">
        <f t="shared" si="39"/>
        <v>30.915589353612166</v>
      </c>
      <c r="I122" s="60">
        <f t="shared" si="38"/>
        <v>-20842.03</v>
      </c>
      <c r="J122" s="60">
        <f>F122/D122*100</f>
        <v>9.688751191611058</v>
      </c>
      <c r="K122" s="60">
        <f>F122-14177.3</f>
        <v>-11941.33</v>
      </c>
      <c r="L122" s="138">
        <f>F122/14177.3</f>
        <v>0.15771479759897863</v>
      </c>
      <c r="M122" s="40">
        <f>E122-червень!E122</f>
        <v>2409.8999999999996</v>
      </c>
      <c r="N122" s="40">
        <f>F122-червень!F122</f>
        <v>118.83999999999969</v>
      </c>
      <c r="O122" s="53">
        <f t="shared" si="41"/>
        <v>-2291.06</v>
      </c>
      <c r="P122" s="60">
        <f t="shared" si="42"/>
        <v>4.931324951242778</v>
      </c>
      <c r="Q122" s="60">
        <f>N122-329.4</f>
        <v>-210.5600000000003</v>
      </c>
      <c r="R122" s="138">
        <f>N122/329.4</f>
        <v>0.3607771706132353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51147.12</v>
      </c>
      <c r="G124" s="62">
        <f t="shared" si="37"/>
        <v>-315.5199999999968</v>
      </c>
      <c r="H124" s="72">
        <f t="shared" si="39"/>
        <v>99.38689503686558</v>
      </c>
      <c r="I124" s="61">
        <f t="shared" si="38"/>
        <v>-56174.07</v>
      </c>
      <c r="J124" s="61">
        <f>F124/D124*100</f>
        <v>47.65798813822322</v>
      </c>
      <c r="K124" s="61">
        <f>F124-56479.4</f>
        <v>-5332.279999999999</v>
      </c>
      <c r="L124" s="139">
        <f>F124/56479.4</f>
        <v>0.9055889403924263</v>
      </c>
      <c r="M124" s="62">
        <f>M120+M121+M122+M123+M119</f>
        <v>9788.49</v>
      </c>
      <c r="N124" s="62">
        <f>N120+N121+N122+N123+N119</f>
        <v>8450.750000000005</v>
      </c>
      <c r="O124" s="61">
        <f t="shared" si="41"/>
        <v>-1337.7399999999943</v>
      </c>
      <c r="P124" s="61">
        <f t="shared" si="42"/>
        <v>86.33354071976377</v>
      </c>
      <c r="Q124" s="61">
        <f>N124-8200.3</f>
        <v>250.45000000000618</v>
      </c>
      <c r="R124" s="139">
        <f>N124/8200.3</f>
        <v>1.0305415655524806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E127-червень!E127</f>
        <v>0</v>
      </c>
      <c r="N127" s="40">
        <f>F127-червень!F127</f>
        <v>1.7199999999999989</v>
      </c>
      <c r="O127" s="53"/>
      <c r="P127" s="63"/>
      <c r="Q127" s="53">
        <f>N127-0</f>
        <v>1.7199999999999989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5308.17</v>
      </c>
      <c r="G128" s="49">
        <f aca="true" t="shared" si="43" ref="G128:G135">F128-E128</f>
        <v>292.6700000000001</v>
      </c>
      <c r="H128" s="40">
        <f>F128/E128*100</f>
        <v>105.83531053733427</v>
      </c>
      <c r="I128" s="60">
        <f aca="true" t="shared" si="44" ref="I128:I135">F128-D128</f>
        <v>-3391.83</v>
      </c>
      <c r="J128" s="60">
        <f>F128/D128*100</f>
        <v>61.01344827586207</v>
      </c>
      <c r="K128" s="60">
        <f>F128-6320.8</f>
        <v>-1012.6300000000001</v>
      </c>
      <c r="L128" s="138">
        <f>F128/6320.8</f>
        <v>0.8397940134160232</v>
      </c>
      <c r="M128" s="40">
        <f>E128-червень!E128</f>
        <v>3</v>
      </c>
      <c r="N128" s="40">
        <f>F128-червень!F128</f>
        <v>12.609999999999673</v>
      </c>
      <c r="O128" s="53">
        <f aca="true" t="shared" si="45" ref="O128:O135">N128-M128</f>
        <v>9.609999999999673</v>
      </c>
      <c r="P128" s="60">
        <f>N128/M128*100</f>
        <v>420.3333333333224</v>
      </c>
      <c r="Q128" s="60">
        <f>N128-19.4</f>
        <v>-6.790000000000326</v>
      </c>
      <c r="R128" s="162">
        <f>N128/19.4</f>
        <v>0.6499999999999831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F129-(-0.1)</f>
        <v>0.62</v>
      </c>
      <c r="L129" s="138">
        <f>F129/(-0.1)</f>
        <v>-5.2</v>
      </c>
      <c r="M129" s="40">
        <f>E129-червень!E129</f>
        <v>0</v>
      </c>
      <c r="N129" s="40">
        <f>F129-червень!F129</f>
        <v>0.26</v>
      </c>
      <c r="O129" s="53">
        <f t="shared" si="45"/>
        <v>0.26</v>
      </c>
      <c r="P129" s="60"/>
      <c r="Q129" s="60">
        <f>N129-0.3</f>
        <v>-0.03999999999999998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5342.34</v>
      </c>
      <c r="G130" s="62">
        <f t="shared" si="43"/>
        <v>300.4800000000005</v>
      </c>
      <c r="H130" s="72">
        <f>F130/E130*100</f>
        <v>105.9597053468363</v>
      </c>
      <c r="I130" s="61">
        <f t="shared" si="44"/>
        <v>-3408.3600000000006</v>
      </c>
      <c r="J130" s="61">
        <f>F130/D130*100</f>
        <v>61.05043025129417</v>
      </c>
      <c r="K130" s="61">
        <f>F130-6438.4</f>
        <v>-1096.0599999999995</v>
      </c>
      <c r="L130" s="139">
        <f>G130/6438.4</f>
        <v>0.04666998011928437</v>
      </c>
      <c r="M130" s="62">
        <f>M125+M128+M129+M127</f>
        <v>5</v>
      </c>
      <c r="N130" s="62">
        <f>N125+N128+N129+N127</f>
        <v>14.589999999999671</v>
      </c>
      <c r="O130" s="61">
        <f t="shared" si="45"/>
        <v>9.589999999999671</v>
      </c>
      <c r="P130" s="61">
        <f>N130/M130*100</f>
        <v>291.7999999999934</v>
      </c>
      <c r="Q130" s="61">
        <f>N130-28.2</f>
        <v>-13.610000000000328</v>
      </c>
      <c r="R130" s="137">
        <f>N130/28.2</f>
        <v>0.517375886524811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22.4</v>
      </c>
      <c r="G131" s="49">
        <f>F131-E131</f>
        <v>6.349999999999998</v>
      </c>
      <c r="H131" s="40">
        <f>F131/E131*100</f>
        <v>139.5638629283489</v>
      </c>
      <c r="I131" s="60">
        <f>F131-D131</f>
        <v>-7.600000000000001</v>
      </c>
      <c r="J131" s="60">
        <f>F131/D131*100</f>
        <v>74.66666666666666</v>
      </c>
      <c r="K131" s="60">
        <f>F131-17.3</f>
        <v>5.099999999999998</v>
      </c>
      <c r="L131" s="138">
        <f>F131/17.3</f>
        <v>1.2947976878612715</v>
      </c>
      <c r="M131" s="40">
        <f>E131-червень!E131</f>
        <v>0.40000000000000036</v>
      </c>
      <c r="N131" s="40">
        <f>F131-червень!F131</f>
        <v>1.2799999999999976</v>
      </c>
      <c r="O131" s="53">
        <f>N131-M131</f>
        <v>0.8799999999999972</v>
      </c>
      <c r="P131" s="60">
        <f>N131/M131*100</f>
        <v>319.99999999999915</v>
      </c>
      <c r="Q131" s="60">
        <f>N131-0.5</f>
        <v>0.7799999999999976</v>
      </c>
      <c r="R131" s="138">
        <f>N131/0.5</f>
        <v>2.559999999999995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57507.41</v>
      </c>
      <c r="G134" s="50">
        <f t="shared" si="43"/>
        <v>-1194.239999999998</v>
      </c>
      <c r="H134" s="51">
        <f>F134/E134*100</f>
        <v>97.96557677680269</v>
      </c>
      <c r="I134" s="36">
        <f t="shared" si="44"/>
        <v>-62534.08</v>
      </c>
      <c r="J134" s="36">
        <f>F134/D134*100</f>
        <v>47.906278071023614</v>
      </c>
      <c r="K134" s="36">
        <f>F134-65301.1</f>
        <v>-7793.689999999995</v>
      </c>
      <c r="L134" s="136">
        <f>F134/65301.1</f>
        <v>0.8806499431096874</v>
      </c>
      <c r="M134" s="31">
        <f>M117+M131+M124+M130+M133+M132</f>
        <v>10143.39</v>
      </c>
      <c r="N134" s="31">
        <f>N117+N131+N124+N130+N133+N132</f>
        <v>8692.020000000006</v>
      </c>
      <c r="O134" s="36">
        <f t="shared" si="45"/>
        <v>-1451.3699999999935</v>
      </c>
      <c r="P134" s="36">
        <f>N134/M134*100</f>
        <v>85.69147001150509</v>
      </c>
      <c r="Q134" s="36">
        <f>N134-8564.5</f>
        <v>127.5200000000059</v>
      </c>
      <c r="R134" s="136">
        <f>N134/8564.5</f>
        <v>1.0148893689065335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334092.3400000001</v>
      </c>
      <c r="G135" s="50">
        <f t="shared" si="43"/>
        <v>-4841.219999999914</v>
      </c>
      <c r="H135" s="51">
        <f>F135/E135*100</f>
        <v>98.57163156106468</v>
      </c>
      <c r="I135" s="36">
        <f t="shared" si="44"/>
        <v>-292828.7499999999</v>
      </c>
      <c r="J135" s="36">
        <f>F135/D135*100</f>
        <v>53.29097159580325</v>
      </c>
      <c r="K135" s="36">
        <f>F135-344461.4</f>
        <v>-10369.05999999994</v>
      </c>
      <c r="L135" s="136">
        <f>F135/344461.4</f>
        <v>0.9698977592264331</v>
      </c>
      <c r="M135" s="22">
        <f>M107+M134</f>
        <v>49665.070000000014</v>
      </c>
      <c r="N135" s="22">
        <f>N107+N134</f>
        <v>52502.36</v>
      </c>
      <c r="O135" s="36">
        <f t="shared" si="45"/>
        <v>2837.2899999999863</v>
      </c>
      <c r="P135" s="36">
        <f>N135/M135*100</f>
        <v>105.71284808417664</v>
      </c>
      <c r="Q135" s="36">
        <f>N135-50620.9</f>
        <v>1881.4599999999991</v>
      </c>
      <c r="R135" s="136">
        <f>N135/50620.9</f>
        <v>1.0371676520962685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41851</v>
      </c>
      <c r="D139" s="39">
        <v>2276.2</v>
      </c>
      <c r="N139" s="194"/>
      <c r="O139" s="194"/>
    </row>
    <row r="140" spans="3:15" ht="15.75">
      <c r="C140" s="120">
        <v>41850</v>
      </c>
      <c r="D140" s="39">
        <v>4320</v>
      </c>
      <c r="F140" s="4" t="s">
        <v>166</v>
      </c>
      <c r="G140" s="190" t="s">
        <v>151</v>
      </c>
      <c r="H140" s="190"/>
      <c r="I140" s="115">
        <f>13825221.96/1000</f>
        <v>13825.22196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41849</v>
      </c>
      <c r="D141" s="39">
        <v>4403.7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f>'[1]залишки  (2)'!$G$8/1000</f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f>120856761.09/1000</f>
        <v>120856.76109</v>
      </c>
      <c r="E143" s="80"/>
      <c r="F143" s="100" t="s">
        <v>147</v>
      </c>
      <c r="G143" s="190" t="s">
        <v>149</v>
      </c>
      <c r="H143" s="190"/>
      <c r="I143" s="116">
        <f>107031539.13/1000</f>
        <v>107031.53912999999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f>26199804.73/1000</f>
        <v>26199.80473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246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243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238</v>
      </c>
      <c r="H4" s="206" t="s">
        <v>239</v>
      </c>
      <c r="I4" s="202" t="s">
        <v>188</v>
      </c>
      <c r="J4" s="208" t="s">
        <v>189</v>
      </c>
      <c r="K4" s="195" t="s">
        <v>240</v>
      </c>
      <c r="L4" s="196"/>
      <c r="M4" s="216"/>
      <c r="N4" s="200" t="s">
        <v>247</v>
      </c>
      <c r="O4" s="202" t="s">
        <v>136</v>
      </c>
      <c r="P4" s="202" t="s">
        <v>135</v>
      </c>
      <c r="Q4" s="195" t="s">
        <v>242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237</v>
      </c>
      <c r="F5" s="219"/>
      <c r="G5" s="205"/>
      <c r="H5" s="207"/>
      <c r="I5" s="203"/>
      <c r="J5" s="209"/>
      <c r="K5" s="197"/>
      <c r="L5" s="198"/>
      <c r="M5" s="151" t="s">
        <v>241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828.15</v>
      </c>
      <c r="G29" s="49">
        <f t="shared" si="0"/>
        <v>65.54999999999995</v>
      </c>
      <c r="H29" s="40">
        <f t="shared" si="6"/>
        <v>108.59559402045633</v>
      </c>
      <c r="I29" s="56">
        <f t="shared" si="7"/>
        <v>-101.85000000000002</v>
      </c>
      <c r="J29" s="56">
        <f t="shared" si="8"/>
        <v>89.04838709677419</v>
      </c>
      <c r="K29" s="148">
        <f>F29-2001.3</f>
        <v>-1173.15</v>
      </c>
      <c r="L29" s="149">
        <f>F29/2001.3</f>
        <v>0.413806026083046</v>
      </c>
      <c r="M29" s="146">
        <f>E29-травень!E29</f>
        <v>11</v>
      </c>
      <c r="N29" s="40">
        <f>F29-травень!F29</f>
        <v>22.49000000000001</v>
      </c>
      <c r="O29" s="148">
        <f t="shared" si="3"/>
        <v>11.490000000000009</v>
      </c>
      <c r="P29" s="145">
        <f t="shared" si="9"/>
        <v>204.45454545454552</v>
      </c>
      <c r="Q29" s="148">
        <f>N29-403.3</f>
        <v>-380.81</v>
      </c>
      <c r="R29" s="149">
        <f>N29/403.3</f>
        <v>0.05576493925117781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362.69</v>
      </c>
      <c r="G102" s="144"/>
      <c r="H102" s="146"/>
      <c r="I102" s="145"/>
      <c r="J102" s="145"/>
      <c r="K102" s="148">
        <f>F102-244.8</f>
        <v>117.88999999999999</v>
      </c>
      <c r="L102" s="149">
        <f>F102/244.8</f>
        <v>1.4815767973856209</v>
      </c>
      <c r="M102" s="40">
        <f>E102-травень!E102</f>
        <v>0</v>
      </c>
      <c r="N102" s="146">
        <f>F102-травень!F102</f>
        <v>72.70999999999998</v>
      </c>
      <c r="O102" s="53"/>
      <c r="P102" s="60"/>
      <c r="Q102" s="60">
        <f>N102-60.1</f>
        <v>12.609999999999978</v>
      </c>
      <c r="R102" s="138">
        <f>N102/60.1</f>
        <v>1.2098169717138099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f>N120-2488.2</f>
        <v>391.28999999999814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194"/>
      <c r="O139" s="194"/>
    </row>
    <row r="140" spans="3:15" ht="15.75">
      <c r="C140" s="120">
        <v>41816</v>
      </c>
      <c r="D140" s="39">
        <v>4277.2</v>
      </c>
      <c r="F140" s="4" t="s">
        <v>166</v>
      </c>
      <c r="G140" s="190" t="s">
        <v>151</v>
      </c>
      <c r="H140" s="190"/>
      <c r="I140" s="115">
        <f>'[1]залишки  (2)'!$G$9/1000</f>
        <v>9020.59653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41815</v>
      </c>
      <c r="D141" s="39">
        <v>1877.7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f>'[1]залишки  (2)'!$G$8/1000</f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117976.29</v>
      </c>
      <c r="E143" s="80"/>
      <c r="F143" s="100" t="s">
        <v>147</v>
      </c>
      <c r="G143" s="190" t="s">
        <v>149</v>
      </c>
      <c r="H143" s="190"/>
      <c r="I143" s="116">
        <v>104151.07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41386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03" sqref="E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235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233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229</v>
      </c>
      <c r="H4" s="206" t="s">
        <v>230</v>
      </c>
      <c r="I4" s="202" t="s">
        <v>188</v>
      </c>
      <c r="J4" s="208" t="s">
        <v>189</v>
      </c>
      <c r="K4" s="195" t="s">
        <v>231</v>
      </c>
      <c r="L4" s="196"/>
      <c r="M4" s="216"/>
      <c r="N4" s="200" t="s">
        <v>236</v>
      </c>
      <c r="O4" s="202" t="s">
        <v>136</v>
      </c>
      <c r="P4" s="202" t="s">
        <v>135</v>
      </c>
      <c r="Q4" s="195" t="s">
        <v>234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228</v>
      </c>
      <c r="F5" s="219"/>
      <c r="G5" s="205"/>
      <c r="H5" s="207"/>
      <c r="I5" s="203"/>
      <c r="J5" s="209"/>
      <c r="K5" s="197"/>
      <c r="L5" s="198"/>
      <c r="M5" s="151" t="s">
        <v>232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289.98</v>
      </c>
      <c r="G102" s="144"/>
      <c r="H102" s="146"/>
      <c r="I102" s="145"/>
      <c r="J102" s="145"/>
      <c r="K102" s="148">
        <f>F102-184.7</f>
        <v>105.28000000000003</v>
      </c>
      <c r="L102" s="149">
        <f>F102/184.7</f>
        <v>1.5700054141851654</v>
      </c>
      <c r="M102" s="40">
        <f>E102-квітень!E102</f>
        <v>0</v>
      </c>
      <c r="N102" s="40">
        <f>F102-квітень!F102</f>
        <v>55.33000000000001</v>
      </c>
      <c r="O102" s="53"/>
      <c r="P102" s="60"/>
      <c r="Q102" s="60">
        <f>N102-45.1</f>
        <v>10.230000000000011</v>
      </c>
      <c r="R102" s="138">
        <f>N102/45.1</f>
        <v>1.2268292682926831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194"/>
      <c r="O138" s="194"/>
    </row>
    <row r="139" spans="3:15" ht="15.75">
      <c r="C139" s="120">
        <v>41788</v>
      </c>
      <c r="D139" s="39">
        <v>5993.3</v>
      </c>
      <c r="F139" s="4" t="s">
        <v>166</v>
      </c>
      <c r="G139" s="190" t="s">
        <v>151</v>
      </c>
      <c r="H139" s="190"/>
      <c r="I139" s="115">
        <v>13825.22196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41787</v>
      </c>
      <c r="D140" s="39">
        <v>2595.2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118982.48</v>
      </c>
      <c r="E142" s="80"/>
      <c r="F142" s="100" t="s">
        <v>147</v>
      </c>
      <c r="G142" s="190" t="s">
        <v>149</v>
      </c>
      <c r="H142" s="190"/>
      <c r="I142" s="116">
        <v>105157.26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27359.4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3" sqref="F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226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221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217</v>
      </c>
      <c r="H4" s="206" t="s">
        <v>218</v>
      </c>
      <c r="I4" s="202" t="s">
        <v>188</v>
      </c>
      <c r="J4" s="208" t="s">
        <v>189</v>
      </c>
      <c r="K4" s="195" t="s">
        <v>219</v>
      </c>
      <c r="L4" s="196"/>
      <c r="M4" s="216"/>
      <c r="N4" s="200" t="s">
        <v>227</v>
      </c>
      <c r="O4" s="202" t="s">
        <v>136</v>
      </c>
      <c r="P4" s="202" t="s">
        <v>135</v>
      </c>
      <c r="Q4" s="195" t="s">
        <v>222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216</v>
      </c>
      <c r="F5" s="219"/>
      <c r="G5" s="205"/>
      <c r="H5" s="207"/>
      <c r="I5" s="203"/>
      <c r="J5" s="209"/>
      <c r="K5" s="197"/>
      <c r="L5" s="198"/>
      <c r="M5" s="151" t="s">
        <v>220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234.65</v>
      </c>
      <c r="G102" s="144"/>
      <c r="H102" s="146"/>
      <c r="I102" s="145"/>
      <c r="J102" s="145"/>
      <c r="K102" s="148">
        <f>F102-139.6</f>
        <v>95.05000000000001</v>
      </c>
      <c r="L102" s="149">
        <f>F102/139.6</f>
        <v>1.6808739255014327</v>
      </c>
      <c r="M102" s="40">
        <f>E102-березень!E102</f>
        <v>0</v>
      </c>
      <c r="N102" s="40">
        <f>F102-березень!F102</f>
        <v>62.08000000000001</v>
      </c>
      <c r="O102" s="53"/>
      <c r="P102" s="60"/>
      <c r="Q102" s="60">
        <f>N102-51</f>
        <v>11.080000000000013</v>
      </c>
      <c r="R102" s="138">
        <f>N102/51</f>
        <v>1.2172549019607846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94"/>
      <c r="O138" s="194"/>
    </row>
    <row r="139" spans="3:15" ht="15.75">
      <c r="C139" s="120">
        <v>41758</v>
      </c>
      <c r="D139" s="39">
        <v>5440.9</v>
      </c>
      <c r="F139" s="4" t="s">
        <v>166</v>
      </c>
      <c r="G139" s="190" t="s">
        <v>151</v>
      </c>
      <c r="H139" s="190"/>
      <c r="I139" s="115">
        <v>13825.22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41757</v>
      </c>
      <c r="D140" s="39">
        <v>1923.2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123251.48</v>
      </c>
      <c r="E142" s="80"/>
      <c r="F142" s="100" t="s">
        <v>147</v>
      </c>
      <c r="G142" s="190" t="s">
        <v>149</v>
      </c>
      <c r="H142" s="190"/>
      <c r="I142" s="116">
        <v>109426.25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f>'[1]надх'!$B$52/1000</f>
        <v>19810.60533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210" t="s">
        <v>212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208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210</v>
      </c>
      <c r="N3" s="217" t="s">
        <v>198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207</v>
      </c>
      <c r="H4" s="206" t="s">
        <v>195</v>
      </c>
      <c r="I4" s="202" t="s">
        <v>188</v>
      </c>
      <c r="J4" s="208" t="s">
        <v>189</v>
      </c>
      <c r="K4" s="195" t="s">
        <v>196</v>
      </c>
      <c r="L4" s="196"/>
      <c r="M4" s="216"/>
      <c r="N4" s="200" t="s">
        <v>213</v>
      </c>
      <c r="O4" s="202" t="s">
        <v>136</v>
      </c>
      <c r="P4" s="202" t="s">
        <v>135</v>
      </c>
      <c r="Q4" s="195" t="s">
        <v>197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214</v>
      </c>
      <c r="F5" s="219"/>
      <c r="G5" s="205"/>
      <c r="H5" s="207"/>
      <c r="I5" s="203"/>
      <c r="J5" s="209"/>
      <c r="K5" s="197"/>
      <c r="L5" s="198"/>
      <c r="M5" s="151" t="s">
        <v>211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172.57</v>
      </c>
      <c r="G102" s="144"/>
      <c r="H102" s="146"/>
      <c r="I102" s="145"/>
      <c r="J102" s="145"/>
      <c r="K102" s="148">
        <f>F102-88.6</f>
        <v>83.97</v>
      </c>
      <c r="L102" s="149">
        <f>F102/88.6</f>
        <v>1.9477426636568849</v>
      </c>
      <c r="M102" s="40">
        <f>E102-лютий!E102</f>
        <v>0</v>
      </c>
      <c r="N102" s="40">
        <f>F102-лютий!F102</f>
        <v>42.47999999999999</v>
      </c>
      <c r="O102" s="53"/>
      <c r="P102" s="60"/>
      <c r="Q102" s="60">
        <f>N102-31.4</f>
        <v>11.079999999999991</v>
      </c>
      <c r="R102" s="135">
        <f>N102/31.4</f>
        <v>1.3528662420382163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94"/>
      <c r="O138" s="194"/>
    </row>
    <row r="139" spans="3:15" ht="15.75">
      <c r="C139" s="120">
        <v>41726</v>
      </c>
      <c r="D139" s="39">
        <v>4682.6</v>
      </c>
      <c r="F139" s="4" t="s">
        <v>166</v>
      </c>
      <c r="G139" s="190" t="s">
        <v>151</v>
      </c>
      <c r="H139" s="190"/>
      <c r="I139" s="115">
        <v>13825.22196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41725</v>
      </c>
      <c r="D140" s="39">
        <v>3360.7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114985.02570999999</v>
      </c>
      <c r="E142" s="80"/>
      <c r="F142" s="100" t="s">
        <v>147</v>
      </c>
      <c r="G142" s="190" t="s">
        <v>149</v>
      </c>
      <c r="H142" s="190"/>
      <c r="I142" s="116">
        <v>101159.80375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3918.1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I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2" sqref="H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210" t="s">
        <v>193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229" t="s">
        <v>187</v>
      </c>
      <c r="E3" s="46"/>
      <c r="F3" s="230" t="s">
        <v>107</v>
      </c>
      <c r="G3" s="231"/>
      <c r="H3" s="231"/>
      <c r="I3" s="231"/>
      <c r="J3" s="232"/>
      <c r="K3" s="123"/>
      <c r="L3" s="123"/>
      <c r="M3" s="233" t="s">
        <v>190</v>
      </c>
      <c r="N3" s="224" t="s">
        <v>185</v>
      </c>
      <c r="O3" s="224"/>
      <c r="P3" s="224"/>
      <c r="Q3" s="224"/>
      <c r="R3" s="224"/>
    </row>
    <row r="4" spans="1:18" ht="22.5" customHeight="1">
      <c r="A4" s="180"/>
      <c r="B4" s="182"/>
      <c r="C4" s="183"/>
      <c r="D4" s="229"/>
      <c r="E4" s="234" t="s">
        <v>191</v>
      </c>
      <c r="F4" s="225" t="s">
        <v>116</v>
      </c>
      <c r="G4" s="227" t="s">
        <v>167</v>
      </c>
      <c r="H4" s="206" t="s">
        <v>168</v>
      </c>
      <c r="I4" s="222" t="s">
        <v>188</v>
      </c>
      <c r="J4" s="220" t="s">
        <v>189</v>
      </c>
      <c r="K4" s="125" t="s">
        <v>174</v>
      </c>
      <c r="L4" s="130" t="s">
        <v>173</v>
      </c>
      <c r="M4" s="233"/>
      <c r="N4" s="200" t="s">
        <v>194</v>
      </c>
      <c r="O4" s="222" t="s">
        <v>136</v>
      </c>
      <c r="P4" s="224" t="s">
        <v>135</v>
      </c>
      <c r="Q4" s="131" t="s">
        <v>174</v>
      </c>
      <c r="R4" s="132" t="s">
        <v>173</v>
      </c>
    </row>
    <row r="5" spans="1:18" ht="82.5" customHeight="1">
      <c r="A5" s="181"/>
      <c r="B5" s="182"/>
      <c r="C5" s="183"/>
      <c r="D5" s="229"/>
      <c r="E5" s="235"/>
      <c r="F5" s="226"/>
      <c r="G5" s="228"/>
      <c r="H5" s="207"/>
      <c r="I5" s="223"/>
      <c r="J5" s="221"/>
      <c r="K5" s="197" t="s">
        <v>184</v>
      </c>
      <c r="L5" s="198"/>
      <c r="M5" s="233"/>
      <c r="N5" s="201"/>
      <c r="O5" s="223"/>
      <c r="P5" s="224"/>
      <c r="Q5" s="197" t="s">
        <v>199</v>
      </c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130.09</v>
      </c>
      <c r="G102" s="144"/>
      <c r="H102" s="146"/>
      <c r="I102" s="145"/>
      <c r="J102" s="145"/>
      <c r="K102" s="148">
        <f>F102-54.4</f>
        <v>75.69</v>
      </c>
      <c r="L102" s="149">
        <f>F102/54.4</f>
        <v>2.3913602941176473</v>
      </c>
      <c r="M102" s="146">
        <f>E102-'січень '!E102</f>
        <v>0</v>
      </c>
      <c r="N102" s="146">
        <f>F102-'січень '!F102</f>
        <v>65.16</v>
      </c>
      <c r="O102" s="53"/>
      <c r="P102" s="60"/>
      <c r="Q102" s="60">
        <f>N102-26.6</f>
        <v>38.559999999999995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94"/>
      <c r="O138" s="194"/>
    </row>
    <row r="139" spans="3:15" ht="15.75">
      <c r="C139" s="120">
        <v>41697</v>
      </c>
      <c r="D139" s="39">
        <v>2276.8</v>
      </c>
      <c r="F139" s="4" t="s">
        <v>166</v>
      </c>
      <c r="G139" s="190" t="s">
        <v>151</v>
      </c>
      <c r="H139" s="190"/>
      <c r="I139" s="115">
        <v>13825.22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41696</v>
      </c>
      <c r="D140" s="39">
        <v>3746.1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f>'[1]залишки  (2)'!$G$8/1000</f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121970.53</v>
      </c>
      <c r="E142" s="80"/>
      <c r="F142" s="100" t="s">
        <v>147</v>
      </c>
      <c r="G142" s="190" t="s">
        <v>149</v>
      </c>
      <c r="H142" s="190"/>
      <c r="I142" s="116">
        <v>108145.31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0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2014-10-17T08:12:34Z</cp:lastPrinted>
  <dcterms:created xsi:type="dcterms:W3CDTF">2003-07-28T11:27:56Z</dcterms:created>
  <dcterms:modified xsi:type="dcterms:W3CDTF">2014-10-17T08:22:27Z</dcterms:modified>
  <cp:category/>
  <cp:version/>
  <cp:contentType/>
  <cp:contentStatus/>
</cp:coreProperties>
</file>